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XoLFA9e8KZZu+JzV9Rw6Hs4MFvKWueRsKbJprGXhDMGiuakgq2kUeqOUM+VZaD6cvRRmOvdWerRiQt9H3LgnfQ==" workbookSaltValue="IxQfa/Yr/qrgOnmbUJXF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I32" i="20"/>
  <c r="Q32" i="20"/>
  <c r="AE32" i="20"/>
  <c r="AU32" i="20"/>
  <c r="G14" i="14"/>
  <c r="R32" i="20"/>
  <c r="F25" i="2" l="1"/>
  <c r="E23" i="12"/>
  <c r="BF17" i="8"/>
  <c r="F16" i="11"/>
  <c r="AQ16" i="11" s="1"/>
  <c r="BG17" i="13"/>
  <c r="R8" i="9"/>
  <c r="AP17" i="20" s="1"/>
  <c r="BL19" i="11"/>
  <c r="BJ18" i="11"/>
  <c r="BM17" i="11"/>
  <c r="BF21" i="11"/>
  <c r="BF17" i="11"/>
  <c r="BL12" i="1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V12" i="21" l="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K14" i="11" l="1"/>
  <c r="Q16" i="11"/>
  <c r="BU33" i="17"/>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<sst xmlns="http://schemas.openxmlformats.org/spreadsheetml/2006/main" count="2682" uniqueCount="1193">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</sst>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fwIwvaLm8VabcEl8yT4K/4c1F6k9k7MNzwEcn0MJDkgTZU8KRXGu/Bohgfp9lwuTy0U7NPjwYTgsA72wiNJjw==" saltValue="uHnkWNkhLhPdi5bDufp4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2</v>
      </c>
      <c r="F10" s="240">
        <f>IF(ISNUMBER(Datos!K10),Datos!K10," - ")</f>
        <v>6</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87.287037037037038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2</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853</v>
      </c>
      <c r="D17" s="239">
        <f>IF(ISNUMBER(IF(D_I="SI",Datos!I17,Datos!I17+Datos!AC17)),IF(D_I="SI",Datos!I17,Datos!I17+Datos!AC17)," - ")</f>
        <v>962</v>
      </c>
      <c r="E17" s="240">
        <f>IF(ISNUMBER(IF(D_I="SI",Datos!J17,Datos!J17+Datos!AD17)),IF(D_I="SI",Datos!J17,Datos!J17+Datos!AD17)," - ")</f>
        <v>314</v>
      </c>
      <c r="F17" s="240">
        <f>IF(ISNUMBER(IF(D_I="SI",Datos!K17,Datos!K17+Datos!AE17)),IF(D_I="SI",Datos!K17,Datos!K17+Datos!AE17)," - ")</f>
        <v>237</v>
      </c>
      <c r="G17" s="1390" t="str">
        <f>IF(Datos!E17&lt;&gt;"",Datos!E17,Datos!D17)</f>
        <v>04</v>
      </c>
      <c r="H17" s="241">
        <f>IF(ISNUMBER(IF(D_I="SI",Datos!L17,Datos!L17+Datos!AF17)),IF(D_I="SI",Datos!L17,Datos!L17+Datos!AF17)," - ")</f>
        <v>930</v>
      </c>
      <c r="I17" s="1400" t="str">
        <f>IF(ISNUMBER(Datos!AS17/Datos!BM17),Datos!AS17/Datos!BM17," - ")</f>
        <v xml:space="preserve"> - </v>
      </c>
      <c r="J17" s="1401">
        <f>IF(ISNUMBER(Datos!BY17/Datos!CN17),Datos!BY17/Datos!CN17," - ")</f>
        <v>0</v>
      </c>
      <c r="K17" s="244">
        <f t="shared" si="3"/>
        <v>9.0269636576787812E-2</v>
      </c>
      <c r="L17" s="1402">
        <f>IF(ISNUMBER(NºAsuntos!I17/NºAsuntos!G17),(NºAsuntos!I17/NºAsuntos!G17)*11," - ")</f>
        <v>43.164556962025316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27</v>
      </c>
      <c r="F18" s="240">
        <f>IF(ISNUMBER(IF(D_I="SI",Datos!K18,Datos!K18+Datos!AE18)),IF(D_I="SI",Datos!K18,Datos!K18+Datos!AE18)," - ")</f>
        <v>26</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2.2727272727272728E-2</v>
      </c>
      <c r="L18" s="1402">
        <f>IF(ISNUMBER(NºAsuntos!I18/NºAsuntos!G18),(NºAsuntos!I18/NºAsuntos!G18)*11," - ")</f>
        <v>19.03846153846154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897</v>
      </c>
      <c r="D23" s="1407">
        <f>SUBTOTAL(9,D16:D22)</f>
        <v>1006</v>
      </c>
      <c r="E23" s="1408">
        <f>SUBTOTAL(9,E16:E22)</f>
        <v>341</v>
      </c>
      <c r="F23" s="1408">
        <f>SUBTOTAL(9,F16:F22)</f>
        <v>263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915</v>
      </c>
      <c r="D31" s="1435">
        <f>SUBTOTAL(9,D9:D30)</f>
        <v>1024</v>
      </c>
      <c r="E31" s="1436">
        <f>SUBTOTAL(9,E9:E30)</f>
        <v>343</v>
      </c>
      <c r="F31" s="1436">
        <f>SUBTOTAL(9,F9:F30)</f>
        <v>269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6AAyg6v9t3XmWRwonb8KyAZ21Y2dSMhJb7ozp0QKZ+nAVl1UOHS1ejDRiTX0eHW7T3v38RcMgkUce9xA3gmyw==" saltValue="Lsfp5Oh4wNkSArJWBlU9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oAYL08j7ncnZPf35lKcQ53rH3U75M3+5YXtbVmbOsP3VjEQz96VOsXV4nsPXzjjNdT3OCr+73EIOWphzKRDXg==" saltValue="OWelPr4TLtL0aPrlNwK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2</v>
      </c>
      <c r="K10" s="194">
        <v>6</v>
      </c>
      <c r="L10" s="194">
        <v>14</v>
      </c>
      <c r="M10" s="194">
        <v>3</v>
      </c>
      <c r="N10" s="194">
        <v>0</v>
      </c>
      <c r="O10" s="194">
        <v>0</v>
      </c>
      <c r="P10" s="194">
        <v>0</v>
      </c>
      <c r="Q10" s="194">
        <v>2</v>
      </c>
      <c r="R10" s="194">
        <v>6</v>
      </c>
      <c r="S10" s="194">
        <v>18</v>
      </c>
      <c r="T10" s="194">
        <v>1</v>
      </c>
      <c r="U10" s="194">
        <v>4</v>
      </c>
      <c r="V10" s="194">
        <v>15</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4</v>
      </c>
      <c r="BB10" s="139">
        <f t="shared" si="0"/>
        <v>15</v>
      </c>
      <c r="BC10" s="135">
        <f t="shared" si="0"/>
        <v>3</v>
      </c>
      <c r="BD10" s="136">
        <f>IF(ISNUMBER(BA10/AZ10),BA10/AZ10," - ")</f>
        <v>4</v>
      </c>
      <c r="BE10" s="137">
        <f>IF(ISNUMBER(BB10/BA10),BB10/BA10, " - ")</f>
        <v>3.75</v>
      </c>
      <c r="BF10" s="137">
        <f>IF(ISNUMBER(BC10/BA10),BC10/BA10, " - ")</f>
        <v>0.75</v>
      </c>
      <c r="BG10" s="209">
        <f>IF(ISNUMBER((AY10+AZ10)/BA10),(AY10+AZ10)/BA10," - ")</f>
        <v>4.75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1571</v>
      </c>
      <c r="J12" s="196">
        <v>282</v>
      </c>
      <c r="K12" s="196">
        <v>200</v>
      </c>
      <c r="L12" s="196">
        <v>1653</v>
      </c>
      <c r="M12" s="196">
        <v>46</v>
      </c>
      <c r="N12" s="196">
        <v>71</v>
      </c>
      <c r="O12" s="194">
        <v>123</v>
      </c>
      <c r="P12" s="196">
        <v>43</v>
      </c>
      <c r="Q12" s="196">
        <v>53</v>
      </c>
      <c r="R12" s="196">
        <v>1917</v>
      </c>
      <c r="S12" s="196">
        <v>1438</v>
      </c>
      <c r="T12" s="196">
        <v>245</v>
      </c>
      <c r="U12" s="196">
        <v>153</v>
      </c>
      <c r="V12" s="196">
        <v>1530</v>
      </c>
      <c r="W12" s="196">
        <v>33</v>
      </c>
      <c r="X12" s="202">
        <v>41</v>
      </c>
      <c r="Y12" s="204">
        <v>63</v>
      </c>
      <c r="Z12" s="194">
        <v>14</v>
      </c>
      <c r="AA12" s="194">
        <v>16</v>
      </c>
      <c r="AB12" s="194">
        <v>61</v>
      </c>
      <c r="AC12" s="196">
        <v>0</v>
      </c>
      <c r="AD12" s="196">
        <v>0</v>
      </c>
      <c r="AE12" s="196">
        <v>0</v>
      </c>
      <c r="AF12" s="202">
        <v>0</v>
      </c>
      <c r="AG12" s="215">
        <v>35</v>
      </c>
      <c r="AH12" s="196">
        <v>12</v>
      </c>
      <c r="AI12" s="196">
        <v>12</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1473</v>
      </c>
      <c r="AZ12" s="137">
        <f t="shared" si="1"/>
        <v>257</v>
      </c>
      <c r="BA12" s="137">
        <f t="shared" si="1"/>
        <v>165</v>
      </c>
      <c r="BB12" s="137">
        <f t="shared" si="1"/>
        <v>1565</v>
      </c>
      <c r="BC12" s="135">
        <f>IF(ISNUMBER(X12),X12," - ")</f>
        <v>41</v>
      </c>
      <c r="BD12" s="136">
        <f t="shared" si="2"/>
        <v>0.642023346303502</v>
      </c>
      <c r="BE12" s="137">
        <f t="shared" si="3"/>
        <v>9.4848484848484844</v>
      </c>
      <c r="BF12" s="137">
        <f t="shared" si="4"/>
        <v>0.24848484848484848</v>
      </c>
      <c r="BG12" s="209">
        <f t="shared" si="5"/>
        <v>10.484848484848484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1589</v>
      </c>
      <c r="J14" s="197">
        <f t="shared" si="7"/>
        <v>284</v>
      </c>
      <c r="K14" s="197">
        <f t="shared" si="7"/>
        <v>206</v>
      </c>
      <c r="L14" s="197">
        <f t="shared" si="7"/>
        <v>1667</v>
      </c>
      <c r="M14" s="197">
        <f t="shared" si="7"/>
        <v>49</v>
      </c>
      <c r="N14" s="197">
        <f t="shared" si="7"/>
        <v>71</v>
      </c>
      <c r="O14" s="197">
        <f t="shared" si="7"/>
        <v>123</v>
      </c>
      <c r="P14" s="197">
        <f t="shared" si="7"/>
        <v>43</v>
      </c>
      <c r="Q14" s="197">
        <f t="shared" si="7"/>
        <v>55</v>
      </c>
      <c r="R14" s="197">
        <f t="shared" si="7"/>
        <v>1923</v>
      </c>
      <c r="S14" s="197">
        <f t="shared" si="7"/>
        <v>1456</v>
      </c>
      <c r="T14" s="197">
        <f t="shared" si="7"/>
        <v>246</v>
      </c>
      <c r="U14" s="197">
        <f t="shared" si="7"/>
        <v>157</v>
      </c>
      <c r="V14" s="197">
        <f t="shared" si="7"/>
        <v>1545</v>
      </c>
      <c r="W14" s="197">
        <f t="shared" si="7"/>
        <v>36</v>
      </c>
      <c r="X14" s="197">
        <f t="shared" si="7"/>
        <v>42</v>
      </c>
      <c r="Y14" s="197">
        <f t="shared" si="7"/>
        <v>63</v>
      </c>
      <c r="Z14" s="197">
        <f t="shared" si="7"/>
        <v>14</v>
      </c>
      <c r="AA14" s="197">
        <f t="shared" si="7"/>
        <v>16</v>
      </c>
      <c r="AB14" s="197">
        <f t="shared" si="7"/>
        <v>61</v>
      </c>
      <c r="AC14" s="197">
        <f t="shared" si="7"/>
        <v>0</v>
      </c>
      <c r="AD14" s="197">
        <f t="shared" si="7"/>
        <v>0</v>
      </c>
      <c r="AE14" s="197">
        <f t="shared" si="7"/>
        <v>0</v>
      </c>
      <c r="AF14" s="197">
        <f>SUBTOTAL(9,AF9:AF13)</f>
        <v>0</v>
      </c>
      <c r="AG14" s="197">
        <f t="shared" ref="AG14:AT14" si="8">SUBTOTAL(9,AG8:AG13)</f>
        <v>35</v>
      </c>
      <c r="AH14" s="197">
        <f t="shared" si="8"/>
        <v>12</v>
      </c>
      <c r="AI14" s="197">
        <f t="shared" si="8"/>
        <v>12</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1491</v>
      </c>
      <c r="AZ14" s="197">
        <f>SUBTOTAL(9,AZ8:AZ13)</f>
        <v>258</v>
      </c>
      <c r="BA14" s="197">
        <f>SUBTOTAL(9,BA8:BA13)</f>
        <v>169</v>
      </c>
      <c r="BB14" s="197">
        <f>SUBTOTAL(9,BB8:BB13)</f>
        <v>1580</v>
      </c>
      <c r="BC14" s="197">
        <f>SUBTOTAL(9,BC8:BC13)</f>
        <v>44</v>
      </c>
      <c r="BD14" s="219">
        <f>IF(ISNUMBER(BA14/AZ14),BA14/AZ14," - ")</f>
        <v>0.65503875968992253</v>
      </c>
      <c r="BE14" s="220">
        <f>IF(ISNUMBER(BB14/BA14),BB14/BA14, " - ")</f>
        <v>9.3491124260355036</v>
      </c>
      <c r="BF14" s="220">
        <f>IF(ISNUMBER(BC14/BA14),BC14/BA14, " - ")</f>
        <v>0.26035502958579881</v>
      </c>
      <c r="BG14" s="221">
        <f>IF(ISNUMBER((AY14+AZ14)/BA14),(AY14+AZ14)/BA14," - ")</f>
        <v>10.349112426035504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962</v>
      </c>
      <c r="J17" s="196">
        <v>314</v>
      </c>
      <c r="K17" s="196">
        <v>237</v>
      </c>
      <c r="L17" s="196">
        <v>930</v>
      </c>
      <c r="M17" s="196">
        <v>20</v>
      </c>
      <c r="N17" s="196">
        <v>122</v>
      </c>
      <c r="O17" s="194">
        <v>0</v>
      </c>
      <c r="P17" s="196">
        <v>15</v>
      </c>
      <c r="Q17" s="196">
        <v>3</v>
      </c>
      <c r="R17" s="196">
        <v>79</v>
      </c>
      <c r="S17" s="196">
        <v>863</v>
      </c>
      <c r="T17" s="196">
        <v>286</v>
      </c>
      <c r="U17" s="196">
        <v>307</v>
      </c>
      <c r="V17" s="196">
        <v>842</v>
      </c>
      <c r="W17" s="196">
        <v>36</v>
      </c>
      <c r="X17" s="202">
        <v>177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863</v>
      </c>
      <c r="AZ17" s="137">
        <f t="shared" si="10"/>
        <v>286</v>
      </c>
      <c r="BA17" s="137">
        <f t="shared" si="10"/>
        <v>307</v>
      </c>
      <c r="BB17" s="137">
        <f t="shared" si="10"/>
        <v>842</v>
      </c>
      <c r="BC17" s="135">
        <f>IF(ISNUMBER(W17),W17," - ")</f>
        <v>36</v>
      </c>
      <c r="BD17" s="136">
        <f t="shared" ref="BD17:BD22" si="12">IF(ISNUMBER(BA17/AZ17),BA17/AZ17," - ")</f>
        <v>1.0734265734265733</v>
      </c>
      <c r="BE17" s="137">
        <f t="shared" ref="BE17:BE22" si="13">IF(ISNUMBER(BB17/BA17),BB17/BA17, " - ")</f>
        <v>2.7426710097719869</v>
      </c>
      <c r="BF17" s="137">
        <f t="shared" ref="BF17:BF22" si="14">IF(ISNUMBER(BC17/BA17),BC17/BA17, " - ")</f>
        <v>0.11726384364820847</v>
      </c>
      <c r="BG17" s="209">
        <f t="shared" si="11"/>
        <v>3.7426710097719869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27</v>
      </c>
      <c r="K18" s="196">
        <v>26</v>
      </c>
      <c r="L18" s="196">
        <v>45</v>
      </c>
      <c r="M18" s="196">
        <v>5</v>
      </c>
      <c r="N18" s="196">
        <v>11</v>
      </c>
      <c r="O18" s="196">
        <v>0</v>
      </c>
      <c r="P18" s="196">
        <v>0</v>
      </c>
      <c r="Q18" s="196">
        <v>0</v>
      </c>
      <c r="R18" s="196">
        <v>10</v>
      </c>
      <c r="S18" s="196">
        <v>51</v>
      </c>
      <c r="T18" s="196">
        <v>26</v>
      </c>
      <c r="U18" s="196">
        <v>32</v>
      </c>
      <c r="V18" s="196">
        <v>45</v>
      </c>
      <c r="W18" s="196">
        <v>5</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26</v>
      </c>
      <c r="BA18" s="139">
        <f t="shared" si="15"/>
        <v>32</v>
      </c>
      <c r="BB18" s="139">
        <f t="shared" si="15"/>
        <v>45</v>
      </c>
      <c r="BC18" s="135">
        <f>IF(ISNUMBER(W18),W18," - ")</f>
        <v>5</v>
      </c>
      <c r="BD18" s="136">
        <f>IF(ISNUMBER(BA18/AZ18),BA18/AZ18," - ")</f>
        <v>1.2307692307692308</v>
      </c>
      <c r="BE18" s="137">
        <f>IF(ISNUMBER(BB18/BA18),BB18/BA18, " - ")</f>
        <v>1.40625</v>
      </c>
      <c r="BF18" s="137">
        <f>IF(ISNUMBER(BC18/BA18),BC18/BA18, " - ")</f>
        <v>0.15625</v>
      </c>
      <c r="BG18" s="209">
        <f>IF(ISNUMBER((AY18+AZ18)/BA18),(AY18+AZ18)/BA18," - ")</f>
        <v>2.40625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1006</v>
      </c>
      <c r="J23" s="197">
        <f t="shared" si="21"/>
        <v>341</v>
      </c>
      <c r="K23" s="197">
        <f t="shared" si="21"/>
        <v>263</v>
      </c>
      <c r="L23" s="197">
        <f t="shared" si="21"/>
        <v>975</v>
      </c>
      <c r="M23" s="197">
        <f t="shared" si="21"/>
        <v>25</v>
      </c>
      <c r="N23" s="197">
        <f t="shared" si="21"/>
        <v>133</v>
      </c>
      <c r="O23" s="197">
        <f t="shared" si="21"/>
        <v>0</v>
      </c>
      <c r="P23" s="197">
        <f t="shared" si="21"/>
        <v>15</v>
      </c>
      <c r="Q23" s="197">
        <f t="shared" si="21"/>
        <v>3</v>
      </c>
      <c r="R23" s="197">
        <f t="shared" si="21"/>
        <v>89</v>
      </c>
      <c r="S23" s="197">
        <f t="shared" si="21"/>
        <v>914</v>
      </c>
      <c r="T23" s="197">
        <f t="shared" si="21"/>
        <v>312</v>
      </c>
      <c r="U23" s="197">
        <f t="shared" si="21"/>
        <v>339</v>
      </c>
      <c r="V23" s="197">
        <f t="shared" si="21"/>
        <v>887</v>
      </c>
      <c r="W23" s="197">
        <f t="shared" si="21"/>
        <v>41</v>
      </c>
      <c r="X23" s="197">
        <f t="shared" si="21"/>
        <v>198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914</v>
      </c>
      <c r="AZ23" s="197">
        <f>SUBTOTAL(9,AZ15:AZ22)</f>
        <v>312</v>
      </c>
      <c r="BA23" s="197">
        <f>SUBTOTAL(9,BA15:BA22)</f>
        <v>339</v>
      </c>
      <c r="BB23" s="197">
        <f>SUBTOTAL(9,BB15:BB22)</f>
        <v>887</v>
      </c>
      <c r="BC23" s="197">
        <f>SUBTOTAL(9,BC15:BC22)</f>
        <v>41</v>
      </c>
      <c r="BD23" s="219">
        <f>IF(ISNUMBER(BA23/AZ23),BA23/AZ23," - ")</f>
        <v>1.0865384615384615</v>
      </c>
      <c r="BE23" s="220">
        <f>IF(ISNUMBER(BB23/BA23),BB23/BA23, " - ")</f>
        <v>2.6165191740412981</v>
      </c>
      <c r="BF23" s="220">
        <f>IF(ISNUMBER(BC23/BA23),BC23/BA23, " - ")</f>
        <v>0.12094395280235988</v>
      </c>
      <c r="BG23" s="221">
        <f>IF(ISNUMBER((AY23+AZ23)/BA23),(AY23+AZ23)/BA23," - ")</f>
        <v>3.6165191740412981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2595</v>
      </c>
      <c r="J31" s="144">
        <f t="shared" si="36"/>
        <v>625</v>
      </c>
      <c r="K31" s="144">
        <f t="shared" si="36"/>
        <v>469</v>
      </c>
      <c r="L31" s="144">
        <f t="shared" si="36"/>
        <v>2642</v>
      </c>
      <c r="M31" s="144">
        <f t="shared" si="36"/>
        <v>74</v>
      </c>
      <c r="N31" s="144">
        <f t="shared" si="36"/>
        <v>204</v>
      </c>
      <c r="O31" s="144">
        <f t="shared" si="36"/>
        <v>123</v>
      </c>
      <c r="P31" s="144">
        <f t="shared" si="36"/>
        <v>58</v>
      </c>
      <c r="Q31" s="144">
        <f t="shared" si="36"/>
        <v>58</v>
      </c>
      <c r="R31" s="144">
        <f t="shared" si="36"/>
        <v>2012</v>
      </c>
      <c r="S31" s="144">
        <f t="shared" si="36"/>
        <v>2370</v>
      </c>
      <c r="T31" s="144">
        <f t="shared" si="36"/>
        <v>558</v>
      </c>
      <c r="U31" s="144">
        <f t="shared" si="36"/>
        <v>496</v>
      </c>
      <c r="V31" s="144">
        <f t="shared" si="36"/>
        <v>2432</v>
      </c>
      <c r="W31" s="144">
        <f t="shared" si="36"/>
        <v>77</v>
      </c>
      <c r="X31" s="144">
        <f t="shared" si="36"/>
        <v>240</v>
      </c>
      <c r="Y31" s="144">
        <f t="shared" si="36"/>
        <v>63</v>
      </c>
      <c r="Z31" s="144">
        <f t="shared" si="36"/>
        <v>14</v>
      </c>
      <c r="AA31" s="144">
        <f t="shared" si="36"/>
        <v>16</v>
      </c>
      <c r="AB31" s="144">
        <f t="shared" si="36"/>
        <v>61</v>
      </c>
      <c r="AC31" s="144">
        <f t="shared" si="36"/>
        <v>0</v>
      </c>
      <c r="AD31" s="144">
        <f t="shared" si="36"/>
        <v>0</v>
      </c>
      <c r="AE31" s="144">
        <f t="shared" si="36"/>
        <v>0</v>
      </c>
      <c r="AF31" s="144">
        <f t="shared" si="36"/>
        <v>0</v>
      </c>
      <c r="AG31" s="144">
        <f t="shared" si="36"/>
        <v>35</v>
      </c>
      <c r="AH31" s="144">
        <f t="shared" si="36"/>
        <v>12</v>
      </c>
      <c r="AI31" s="144">
        <f t="shared" si="36"/>
        <v>12</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2405</v>
      </c>
      <c r="AZ31" s="144">
        <f>SUBTOTAL(9,AZ9:AZ30)</f>
        <v>570</v>
      </c>
      <c r="BA31" s="144">
        <f>SUBTOTAL(9,BA9:BA30)</f>
        <v>508</v>
      </c>
      <c r="BB31" s="144">
        <f>SUBTOTAL(9,BB9:BB30)</f>
        <v>2467</v>
      </c>
      <c r="BC31" s="145">
        <f>SUBTOTAL(9,BC9:BC30)</f>
        <v>85</v>
      </c>
      <c r="BD31" s="227">
        <f>IF(ISNUMBER(BA31/AZ31),BA31/AZ31," - ")</f>
        <v>0.89122807017543859</v>
      </c>
      <c r="BE31" s="224">
        <f>IF(ISNUMBER(BB31/BA31),BB31/BA31, " - ")</f>
        <v>4.856299212598425</v>
      </c>
      <c r="BF31" s="224">
        <f>IF(ISNUMBER(BC31/BA31),BC31/BA31, " - ")</f>
        <v>0.1673228346456693</v>
      </c>
      <c r="BG31" s="145">
        <f>IF(ISNUMBER((AY31+AZ31)/BA31),(AY31+AZ31)/BA31," - ")</f>
        <v>5.856299212598425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wiv03ldjLINQV2dJcSOJxvVoFrmS99ZzWUEd8c/Hjg6XKOvJuW778mZXUFCZ8a19A3wst3hI0gThKeyOQATg==" saltValue="xQNty9zTroLMm5uVj/QQ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w6g7p6uJmcQnSBBF6yAjmhsd0kIpox2f9RW3PvFIeIjymFz3tTXQ6Lp3zwqI2klYoUXstsyEbKdItfKV1zdA==" saltValue="6xjF5GCTfWlXZi+jotJX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MOTILLA DEL PALANCAR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2</v>
      </c>
      <c r="AD10" s="549"/>
      <c r="AE10" s="563"/>
      <c r="AF10" s="551">
        <f>IF(ISNUMBER(Datos!L10),Datos!L10,"-")</f>
        <v>14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1917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0.72972972972972971</v>
      </c>
      <c r="BH12" s="764">
        <f>IF(ISNUMBER(((IF(J_V="SI",Datos!L12/Datos!K12,(Datos!L12+Datos!AB12)/(Datos!K12+Datos!AA12)))*11)/factor_trimestre),((IF(J_V="SI",Datos!L12/Datos!K12,(Datos!L12+Datos!AB12)/(Datos!K12+Datos!AA12)))*11)/factor_trimestre," - ")</f>
        <v>23.805555555555557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-5.1894135962636222E-3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55</v>
      </c>
      <c r="AD14" s="1198">
        <f t="shared" si="2"/>
        <v>0</v>
      </c>
      <c r="AE14" s="1198">
        <f t="shared" si="2"/>
        <v>0</v>
      </c>
      <c r="AF14" s="1198">
        <f t="shared" si="2"/>
        <v>14</v>
      </c>
      <c r="AG14" s="1198">
        <f t="shared" si="2"/>
        <v>0</v>
      </c>
      <c r="AH14" s="1198">
        <f t="shared" si="2"/>
        <v>61</v>
      </c>
      <c r="AI14" s="1198">
        <f t="shared" si="2"/>
        <v>0</v>
      </c>
      <c r="AJ14" s="1198">
        <f t="shared" si="2"/>
        <v>0</v>
      </c>
      <c r="AK14" s="1198">
        <f t="shared" si="2"/>
        <v>0</v>
      </c>
      <c r="AL14" s="1198">
        <f t="shared" si="2"/>
        <v>0</v>
      </c>
      <c r="AM14" s="1198">
        <f t="shared" si="2"/>
        <v>1923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71</v>
      </c>
      <c r="BE14" s="1198">
        <f t="shared" si="2"/>
        <v>0</v>
      </c>
      <c r="BF14" s="1198">
        <f t="shared" si="2"/>
        <v>0</v>
      </c>
      <c r="BG14" s="1198">
        <f>IF(ISNUMBER(Datos!K14/Datos!J14),Datos!K14/Datos!J14," - ")</f>
        <v>0.72535211267605637</v>
      </c>
      <c r="BH14" s="1202">
        <f>IF(ISNUMBER(((Datos!L14/Datos!K14)*11)/factor_trimestre),((Datos!L14/Datos!K14)*11)/factor_trimestre," - ")</f>
        <v>24.27669902912621</v>
      </c>
      <c r="BI14" s="1198">
        <f>IF(ISNUMBER('Resol  Asuntos'!D14/NºAsuntos!G14),'Resol  Asuntos'!D14/NºAsuntos!G14," - ")</f>
        <v>0.22072072072072071</v>
      </c>
      <c r="BJ14" s="1198" t="str">
        <f>IF(ISNUMBER(Datos!CI14/Datos!CJ14),Datos!CI14/Datos!CJ14," - ")</f>
        <v xml:space="preserve"> - </v>
      </c>
      <c r="BK14" s="1198">
        <f>SUBTOTAL(9,BK8:BK13)</f>
        <v>0</v>
      </c>
      <c r="BL14" s="1198">
        <f>IF(ISNUMBER((I14-AB14+L14)/(F14)),(I14-AB14+L14)/(F14)," - ")</f>
        <v>-0.33333333333333331</v>
      </c>
      <c r="BM14" s="1203">
        <f>SUBTOTAL(9,BM9:BM13)</f>
        <v>-0.25518941359626363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853</v>
      </c>
      <c r="G17" s="743">
        <f>IF(ISNUMBER(IF(D_I="SI",Datos!I17,Datos!I17+Datos!AC17)),IF(D_I="SI",Datos!I17,Datos!I17+Datos!AC17)," - ")</f>
        <v>962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237</v>
      </c>
      <c r="AC17" s="240">
        <f>IF(ISNUMBER(Datos!Q17),Datos!Q17," - ")</f>
        <v>3</v>
      </c>
      <c r="AD17" s="374"/>
      <c r="AE17" s="562"/>
      <c r="AF17" s="741">
        <f>IF(ISNUMBER(IF(D_I="SI",Datos!L17,Datos!L17+Datos!AF17)),IF(D_I="SI",Datos!L17,Datos!L17+Datos!AF17)," - ")</f>
        <v>930</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0.75477707006369432</v>
      </c>
      <c r="BH17" s="764">
        <f>IF(ISNUMBER(((IF(D_I="SI",Datos!L17/Datos!K17,(Datos!L17+Datos!AF17)/(Datos!K17+Datos!AE17)))*11)/factor_trimestre),((IF(D_I="SI",Datos!L17/Datos!K17,(Datos!L17+Datos!AF17)/(Datos!K17+Datos!AE17)))*11)/factor_trimestre," - ")</f>
        <v>11.772151898734178</v>
      </c>
      <c r="BI17" s="266">
        <f>IF(ISNUMBER('Resol  Asuntos'!D17/NºAsuntos!G17),'Resol  Asuntos'!D17/NºAsuntos!G17," - ")</f>
        <v>8.4388185654008435E-2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45</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0.96296296296296291</v>
      </c>
      <c r="BH18" s="764">
        <f>IF(ISNUMBER(((IF(D_I="SI",Datos!L18/Datos!K18,(Datos!L18+Datos!AF18)/(Datos!K18+Datos!AE18)))*11)/factor_trimestre),((IF(D_I="SI",Datos!L18/Datos!K18,(Datos!L18+Datos!AF18)/(Datos!K18+Datos!AE18)))*11)/factor_trimestre," - ")</f>
        <v>5.1923076923076934</v>
      </c>
      <c r="BI18" s="763">
        <f>IF(ISNUMBER('Resol  Asuntos'!D18/NºAsuntos!G18),'Resol  Asuntos'!D18/NºAsuntos!G18," - ")</f>
        <v>0.19230769230769232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853</v>
      </c>
      <c r="G23" s="1197">
        <f>SUBTOTAL(9,G16:G22)</f>
        <v>1006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263</v>
      </c>
      <c r="AC23" s="1198">
        <f t="shared" si="5"/>
        <v>3</v>
      </c>
      <c r="AD23" s="1198">
        <f t="shared" si="5"/>
        <v>0</v>
      </c>
      <c r="AE23" s="1198">
        <f t="shared" si="5"/>
        <v>0</v>
      </c>
      <c r="AF23" s="1198">
        <f t="shared" si="5"/>
        <v>975</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133</v>
      </c>
      <c r="BE23" s="1198">
        <f t="shared" si="5"/>
        <v>0</v>
      </c>
      <c r="BF23" s="1198">
        <f t="shared" si="5"/>
        <v>0</v>
      </c>
      <c r="BG23" s="1198">
        <f>IF(ISNUMBER(Datos!K23/Datos!J23),Datos!K23/Datos!J23," - ")</f>
        <v>0.77126099706744866</v>
      </c>
      <c r="BH23" s="1202">
        <f>IF(ISNUMBER(((Datos!L23/Datos!K23)*11)/factor_trimestre),((Datos!L23/Datos!K23)*11)/factor_trimestre," - ")</f>
        <v>11.121673003802281</v>
      </c>
      <c r="BI23" s="1198">
        <f>SUBTOTAL(9,BI16:BI22)</f>
        <v>0.27669587796170075</v>
      </c>
      <c r="BJ23" s="1198">
        <f>SUBTOTAL(9,BJ16:BJ22)</f>
        <v>0</v>
      </c>
      <c r="BK23" s="1198">
        <f>SUBTOTAL(9,BK16:BK22)</f>
        <v>0</v>
      </c>
      <c r="BL23" s="1198">
        <f>IF(ISNUMBER((I23-AB23+L23)/(F23)),(I23-AB23+L23)/(F23)," - ")</f>
        <v>-0.30832356389214538</v>
      </c>
      <c r="BM23" s="1205">
        <f>IF(ISNUMBER((Datos!P23-Datos!Q23)/(Datos!R23-Datos!P23+Datos!Q23)),(Datos!P23-Datos!Q23)/(Datos!R23-Datos!P23+Datos!Q23)," - ")</f>
        <v>0.15584415584415584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871</v>
      </c>
      <c r="G31" s="1117">
        <f t="shared" si="18"/>
        <v>1024</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269</v>
      </c>
      <c r="AC31" s="1118">
        <f t="shared" si="19"/>
        <v>58</v>
      </c>
      <c r="AD31" s="1118">
        <f t="shared" si="19"/>
        <v>0</v>
      </c>
      <c r="AE31" s="1118">
        <f t="shared" si="19"/>
        <v>0</v>
      </c>
      <c r="AF31" s="1125">
        <f t="shared" si="19"/>
        <v>989</v>
      </c>
      <c r="AG31" s="1125">
        <f t="shared" si="19"/>
        <v>0</v>
      </c>
      <c r="AH31" s="1125">
        <f t="shared" si="19"/>
        <v>61</v>
      </c>
      <c r="AI31" s="1125">
        <f t="shared" si="19"/>
        <v>0</v>
      </c>
      <c r="AJ31" s="1118">
        <f t="shared" si="19"/>
        <v>0</v>
      </c>
      <c r="AK31" s="1125">
        <f t="shared" si="19"/>
        <v>0</v>
      </c>
      <c r="AL31" s="1125">
        <f t="shared" si="19"/>
        <v>0</v>
      </c>
      <c r="AM31" s="1125">
        <f t="shared" si="19"/>
        <v>2012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204</v>
      </c>
      <c r="BE31" s="1117">
        <f t="shared" si="19"/>
        <v>0</v>
      </c>
      <c r="BF31" s="1127">
        <f t="shared" si="19"/>
        <v>0</v>
      </c>
      <c r="BG31" s="1223">
        <f>IF(ISNUMBER(Datos!K31/Datos!J31),Datos!K31/Datos!J31," - ")</f>
        <v>0.75039999999999996</v>
      </c>
      <c r="BH31" s="1223">
        <f>IF(ISNUMBER(((Datos!L31/Datos!K31)*11)/factor_trimestre),((Datos!L31/Datos!K31)*11)/factor_trimestre," - ")</f>
        <v>16.899786780383796</v>
      </c>
      <c r="BI31" s="1103">
        <f>IF(ISNUMBER(Datos!J31/Datos!I31),Datos!J31/Datos!I31," - ")</f>
        <v>0.24084778420038536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-0.30884041331802525</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435.91405880823191</v>
      </c>
      <c r="G33" s="674">
        <f>IF(ISNUMBER(STDEV(G8:G30)),STDEV(G8:G30),"-")</f>
        <v>472.73631026992103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118.83942748014871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20.135256924821483</v>
      </c>
      <c r="BD33" s="673"/>
      <c r="BE33" s="673">
        <f>IF(ISNUMBER(STDEV(BE8:BE30)),STDEV(BE8:BE30),"-")</f>
        <v>0</v>
      </c>
      <c r="BF33" s="678">
        <f>IF(ISNUMBER(STDEV(BF8:BF30)),STDEV(BF8:BF30),"-")</f>
        <v>0</v>
      </c>
      <c r="BG33" s="1052">
        <f>IF(ISNUMBER(STDEV(BG8:BG30)),STDEV(BG8:BG30),"-")</f>
        <v>0.90705637034535747</v>
      </c>
      <c r="BH33" s="1058">
        <f>IF(ISNUMBER(STDEV(BH8:BH30)),STDEV(BH8:BH30),"-")</f>
        <v>8.2639907625892643</v>
      </c>
      <c r="BI33" s="273">
        <f>IF(ISNUMBER(STDEV(BI8:BI30)),STDEV(BI8:BI30),"-")</f>
        <v>8.0765768761961801E-2</v>
      </c>
      <c r="BJ33" s="244" t="str">
        <f>IF(ISNUMBER(BL33/BM33),BL33/BM33," - ")</f>
        <v xml:space="preserve"> - </v>
      </c>
      <c r="BK33" s="709"/>
      <c r="BL33" s="681">
        <f>IF(ISNUMBER(STDEV(BL8:BL30)),STDEV(BL8:BL30),"-")</f>
        <v>1.768457756777608E-2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rZeU07l3GMAduoi/Sh421I7FSK6Orill1Y0h8HuZQwWhdPp0tXNoPtMuc9Nr7Mbjw5kvGVFpu3BTj80vS/JJw==" saltValue="6ALBsTcURKKDE8ce78MA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MOTILLA DEL PALANCAR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2</v>
      </c>
      <c r="AA10" s="551">
        <f>IF(ISNUMBER(Datos!L10),Datos!L10,"-")</f>
        <v>14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1917</v>
      </c>
      <c r="AF12" s="693" t="str">
        <f>IF(ISNUMBER(Datos!BV12),Datos!BV12," - ")</f>
        <v xml:space="preserve"> - </v>
      </c>
      <c r="AG12" s="552" t="str">
        <f>IF(ISNUMBER(Datos!DV12),Datos!DV12," - ")</f>
        <v xml:space="preserve"> - </v>
      </c>
      <c r="AH12" s="553"/>
      <c r="AI12" s="554"/>
      <c r="AJ12" s="552">
        <f>IF(ISNUMBER(Datos!M12),Datos!M12," - ")</f>
        <v>46</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23.805555555555557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-5.1894135962636222E-3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55</v>
      </c>
      <c r="AA14" s="1199">
        <f t="shared" si="3"/>
        <v>14</v>
      </c>
      <c r="AB14" s="1199">
        <f t="shared" si="3"/>
        <v>0</v>
      </c>
      <c r="AC14" s="1199">
        <f t="shared" si="3"/>
        <v>0</v>
      </c>
      <c r="AD14" s="1199">
        <f t="shared" si="3"/>
        <v>0</v>
      </c>
      <c r="AE14" s="1199">
        <f t="shared" si="3"/>
        <v>1923</v>
      </c>
      <c r="AF14" s="1211">
        <f t="shared" si="3"/>
        <v>0</v>
      </c>
      <c r="AG14" s="1211">
        <f t="shared" si="3"/>
        <v>0</v>
      </c>
      <c r="AH14" s="1211">
        <f t="shared" si="3"/>
        <v>0</v>
      </c>
      <c r="AI14" s="1211">
        <f t="shared" si="3"/>
        <v>0</v>
      </c>
      <c r="AJ14" s="1211">
        <f t="shared" si="3"/>
        <v>49</v>
      </c>
      <c r="AK14" s="1211">
        <f t="shared" si="3"/>
        <v>71</v>
      </c>
      <c r="AL14" s="1211">
        <f t="shared" si="3"/>
        <v>0</v>
      </c>
      <c r="AM14" s="1211">
        <f t="shared" si="3"/>
        <v>0</v>
      </c>
      <c r="AN14" s="1211">
        <f t="shared" si="3"/>
        <v>0</v>
      </c>
      <c r="AO14" s="1203">
        <f>IF(ISNUMBER(((NºAsuntos!I14/NºAsuntos!G14)*11)/factor_trimestre),((NºAsuntos!I14/NºAsuntos!G14)*11)/factor_trimestre," - ")</f>
        <v>23.351351351351354</v>
      </c>
      <c r="AP14" s="1213" t="str">
        <f>IF(ISNUMBER(Datos!CI14/Datos!CJ14),Datos!CI14/Datos!CJ14," - ")</f>
        <v xml:space="preserve"> - </v>
      </c>
      <c r="AQ14" s="1236">
        <f t="shared" ref="AQ14:AV14" si="4">SUBTOTAL(9,AQ9:AQ13)</f>
        <v>0</v>
      </c>
      <c r="AR14" s="1236">
        <f t="shared" si="4"/>
        <v>-0.25518941359626363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853</v>
      </c>
      <c r="G17" s="552">
        <f>IF(ISNUMBER(IF(D_I="SI",Datos!I17,Datos!I17+Datos!AC17)),IF(D_I="SI",Datos!I17,Datos!I17+Datos!AC17)," - ")</f>
        <v>962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237</v>
      </c>
      <c r="Z17" s="805">
        <f>IF(ISNUMBER(Datos!Q17),Datos!Q17," - ")</f>
        <v>3</v>
      </c>
      <c r="AA17" s="551">
        <f>IF(ISNUMBER(IF(D_I="SI",Datos!L17,Datos!L17+Datos!AF17)),IF(D_I="SI",Datos!L17,Datos!L17+Datos!AF17)," - ")</f>
        <v>930</v>
      </c>
      <c r="AB17" s="549"/>
      <c r="AC17" s="549"/>
      <c r="AD17" s="563"/>
      <c r="AE17" s="563">
        <f>IF(ISNUMBER(Datos!R17),Datos!R17," - ")</f>
        <v>79</v>
      </c>
      <c r="AF17" s="693" t="str">
        <f>IF(ISNUMBER(Datos!BV17),Datos!BV17," - ")</f>
        <v xml:space="preserve"> - </v>
      </c>
      <c r="AG17" s="552"/>
      <c r="AH17" s="553"/>
      <c r="AI17" s="554"/>
      <c r="AJ17" s="552">
        <f>IF(ISNUMBER(Datos!M17),Datos!M17," - ")</f>
        <v>20</v>
      </c>
      <c r="AK17" s="693">
        <f>IF(ISNUMBER(Datos!N17),Datos!N17," - ")</f>
        <v>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11.772151898734178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45</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5</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5.1923076923076934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853</v>
      </c>
      <c r="G23" s="1197">
        <f>SUBTOTAL(9,G16:G22)</f>
        <v>1006</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263</v>
      </c>
      <c r="Z23" s="1240">
        <f t="shared" si="6"/>
        <v>3</v>
      </c>
      <c r="AA23" s="1240">
        <f t="shared" si="6"/>
        <v>975</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25</v>
      </c>
      <c r="AK23" s="1240">
        <f t="shared" si="6"/>
        <v>133</v>
      </c>
      <c r="AL23" s="1240">
        <f t="shared" si="6"/>
        <v>0</v>
      </c>
      <c r="AM23" s="1240">
        <f t="shared" si="6"/>
        <v>0</v>
      </c>
      <c r="AN23" s="1240">
        <f t="shared" si="6"/>
        <v>0</v>
      </c>
      <c r="AO23" s="1242">
        <f>IF(ISNUMBER(((NºAsuntos!I23/NºAsuntos!G23)*11)/factor_trimestre),((NºAsuntos!I23/NºAsuntos!G23)*11)/factor_trimestre," - ")</f>
        <v>11.121673003802281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871</v>
      </c>
      <c r="G31" s="1117">
        <f t="shared" si="12"/>
        <v>1024</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269</v>
      </c>
      <c r="Z31" s="1124">
        <f t="shared" si="13"/>
        <v>58</v>
      </c>
      <c r="AA31" s="1125">
        <f t="shared" si="13"/>
        <v>989</v>
      </c>
      <c r="AB31" s="1125">
        <f t="shared" si="13"/>
        <v>0</v>
      </c>
      <c r="AC31" s="1125">
        <f t="shared" si="13"/>
        <v>0</v>
      </c>
      <c r="AD31" s="1126">
        <f t="shared" si="13"/>
        <v>0</v>
      </c>
      <c r="AE31" s="1126">
        <f t="shared" si="13"/>
        <v>2012</v>
      </c>
      <c r="AF31" s="1127">
        <f t="shared" si="13"/>
        <v>0</v>
      </c>
      <c r="AG31" s="1128">
        <f t="shared" si="13"/>
        <v>0</v>
      </c>
      <c r="AH31" s="1129">
        <f t="shared" si="13"/>
        <v>0</v>
      </c>
      <c r="AI31" s="1127">
        <f t="shared" si="13"/>
        <v>0</v>
      </c>
      <c r="AJ31" s="1117">
        <f t="shared" si="13"/>
        <v>74</v>
      </c>
      <c r="AK31" s="1117">
        <f t="shared" si="13"/>
        <v>204</v>
      </c>
      <c r="AL31" s="1117">
        <f t="shared" si="13"/>
        <v>0</v>
      </c>
      <c r="AM31" s="1130">
        <f t="shared" si="13"/>
        <v>0</v>
      </c>
      <c r="AN31" s="1120">
        <f>IF(ISNUMBER(Datos!K31/Datos!J31),Datos!K31/Datos!J31," - ")</f>
        <v>0.75039999999999996</v>
      </c>
      <c r="AO31" s="1120">
        <f>IF(ISNUMBER(FIND("06",Criterios!A8,1)),(IF(ISNUMBER(((Datos!R31/Datos!Q31)*11)/factor_trimestre),((Datos!R31/Datos!Q31)*11)/factor_trimestre," - ")),(IF(ISNUMBER(((Datos!L31/Datos!K31)*11)/factor_trimestre),((Datos!L31/Datos!K31)*11)/factor_trimestre," - ")))</f>
        <v>16.899786780383796</v>
      </c>
      <c r="AP31" s="1131" t="str">
        <f>IF(ISNUMBER(Datos!CI31/Datos!CJ31),Datos!CI31/Datos!CJ31," - ")</f>
        <v xml:space="preserve"> - </v>
      </c>
      <c r="AQ31" s="1131">
        <f>IF(OR(ISNUMBER(FIND("01",Criterios!A8,1)),ISNUMBER(FIND("02",Criterios!A8,1)),ISNUMBER(FIND("03",Criterios!A8,1)),ISNUMBER(FIND("04",Criterios!A8,1))),(J31-Y31+K31)/(F31-K31),(I31-Y31+K31)/(F31-K31))</f>
        <v>-0.30884041331802525</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435.91405880823191</v>
      </c>
      <c r="G33" s="674">
        <f>IF(ISNUMBER(STDEV(G8:G30)),STDEV(G8:G30),"-")</f>
        <v>472.73631026992103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20.135256924821483</v>
      </c>
      <c r="AK33" s="276"/>
      <c r="AL33" s="276">
        <f>IF(ISNUMBER(STDEV(AL8:AL30)),STDEV(AL8:AL30),"-")</f>
        <v>0</v>
      </c>
      <c r="AM33" s="278">
        <f>IF(ISNUMBER(STDEV(AM8:AM30)),STDEV(AM8:AM30),"-")</f>
        <v>0</v>
      </c>
      <c r="AN33" s="660">
        <f>IF(ISNUMBER(STDEV(AN8:AN30)),STDEV(AN8:AN30),"-")</f>
        <v>0</v>
      </c>
      <c r="AO33" s="661">
        <f>IF(ISNUMBER(STDEV(AO8:AO30)),STDEV(AO8:AO30),"-")</f>
        <v>8.0362394695998898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b44xzoA9cOmuw4/xgBd+VD19fn5uk/iIPyFMFV9bhCh52yUIAcNMkyHDdgMnkW45pGFWNegBGSXLZlO/ikcYw==" saltValue="0ychqokcF+me4FbtYm7I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T2M7zx6F1oqgEiwDqJuT9ffBUNjE64Q35rRgQzEkYQ77Bo2kBZYmiImzMA7Dk2auunxFmOqXd678R5H+zqvw==" saltValue="XTX/rwaGfcLzmIyR0I0L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9bxX1yfaav3PyMPNCvi0yNdEsuQNoNtfz+YWL2fNviNFkQU0OKxyTWB6sQ4giez2ipthf4fwcDIZ4kN2Ifvig==" saltValue="tNrpiMZ4+mYTq8OLlpHh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MOTILLA DEL PALANCAR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0.22072072072072071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0.15607311837000373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p/hyXjnMC4AlAyOa5feTm7PDxo9Ae6uPL8/biT7yGZPewMByZzWZGwMbTvdYA2Sk/I6eE3L87TCQa8xwl9WnA==" saltValue="9qSyOf5OAaNa/8jGtT6M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EliNRBM428RV286i9qZl9rwt8WPTHJQJCQ2KwpIDTzx2zPgG6eaQNgjM7nceFMK3pqSQzejFVDZuQkiP1AtQ==" saltValue="RGVLcoMYD8M8gnmpq8nQ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MOTILLA DEL PALANCAR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2</v>
      </c>
      <c r="F10" s="452">
        <f>IF(ISNUMBER(E10/B10),E10/B10," - ")</f>
        <v>2</v>
      </c>
      <c r="G10" s="451">
        <f>IF(ISNUMBER(Datos!K10),Datos!K10," - ")</f>
        <v>6</v>
      </c>
      <c r="H10" s="452">
        <f>IF(ISNUMBER(G10/B10),G10/B10," - ")</f>
        <v>6</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1634</v>
      </c>
      <c r="D12" s="452">
        <f>IF(ISNUMBER(C12/Datos!BH12),C12/Datos!BH12," - ")</f>
        <v>817</v>
      </c>
      <c r="E12" s="451">
        <f>IF(ISNUMBER(IF(J_V="SI",Datos!J12,Datos!J12+Datos!Z12)),IF(J_V="SI",Datos!J12,Datos!J12+Datos!Z12)," - ")</f>
        <v>296</v>
      </c>
      <c r="F12" s="452">
        <f>IF(ISNUMBER(E12/B12),E12/B12," - ")</f>
        <v>148</v>
      </c>
      <c r="G12" s="451">
        <f>IF(ISNUMBER(IF(J_V="SI",Datos!K12,Datos!K12+Datos!AA12)),IF(J_V="SI",Datos!K12,Datos!K12+Datos!AA12)," - ")</f>
        <v>216</v>
      </c>
      <c r="H12" s="452">
        <f>IF(ISNUMBER(G12/B12),G12/B12," - ")</f>
        <v>108</v>
      </c>
      <c r="I12" s="451">
        <f>IF(ISNUMBER(IF(J_V="SI",Datos!L12,Datos!L12+Datos!AB12)),IF(J_V="SI",Datos!L12,Datos!L12+Datos!AB12)," - ")</f>
        <v>1714</v>
      </c>
      <c r="J12" s="452">
        <f>IF(ISNUMBER(I12/B12),I12/B12," - ")</f>
        <v>857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1652</v>
      </c>
      <c r="D14" s="1147" t="str">
        <f>IF(ISNUMBER(C14/Datos!BI14),C14/Datos!BI14," - ")</f>
        <v xml:space="preserve"> - </v>
      </c>
      <c r="E14" s="1146">
        <f>SUBTOTAL(9,E8:E13)</f>
        <v>298</v>
      </c>
      <c r="F14" s="1147">
        <f>IF(ISNUMBER(E14/B14),E14/B14," - ")</f>
        <v>149</v>
      </c>
      <c r="G14" s="1146">
        <f>SUBTOTAL(9,G8:G13)</f>
        <v>222</v>
      </c>
      <c r="H14" s="1147">
        <f>IF(ISNUMBER(G14/B14),G14/B14," - ")</f>
        <v>111</v>
      </c>
      <c r="I14" s="1146">
        <f>SUBTOTAL(9,I8:I13)</f>
        <v>1728</v>
      </c>
      <c r="J14" s="1147">
        <f>IF(ISNUMBER(I14/B14),I14/B14," - ")</f>
        <v>864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962</v>
      </c>
      <c r="D17" s="452">
        <f>IF(ISNUMBER(C17/Datos!BH17),C17/Datos!BH17," - ")</f>
        <v>481</v>
      </c>
      <c r="E17" s="451">
        <f>IF(ISNUMBER(IF(D_I="SI",Datos!J17,Datos!J17+Datos!AD17)),IF(D_I="SI",Datos!J17,Datos!J17+Datos!AD17)," - ")</f>
        <v>314</v>
      </c>
      <c r="F17" s="452">
        <f>IF(ISNUMBER(E17/B17),E17/B17," - ")</f>
        <v>157</v>
      </c>
      <c r="G17" s="451">
        <f>IF(ISNUMBER(IF(D_I="SI",Datos!K17,Datos!K17+Datos!AE17)),IF(D_I="SI",Datos!K17,Datos!K17+Datos!AE17)," - ")</f>
        <v>237</v>
      </c>
      <c r="H17" s="452">
        <f>IF(ISNUMBER(G17/B17),G17/B17," - ")</f>
        <v>118.5</v>
      </c>
      <c r="I17" s="451">
        <f>IF(ISNUMBER(IF(D_I="SI",Datos!L17,Datos!L17+Datos!AF17)),IF(D_I="SI",Datos!L17,Datos!L17+Datos!AF17)," - ")</f>
        <v>930</v>
      </c>
      <c r="J17" s="452">
        <f>IF(ISNUMBER(I17/B17),I17/B17," - ")</f>
        <v>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27</v>
      </c>
      <c r="F18" s="452">
        <f>IF(ISNUMBER(E18/B18),E18/B18," - ")</f>
        <v>27</v>
      </c>
      <c r="G18" s="451">
        <f>IF(ISNUMBER(IF(D_I="SI",Datos!K18,Datos!K18+Datos!AE18)),IF(D_I="SI",Datos!K18,Datos!K18+Datos!AE18)," - ")</f>
        <v>26</v>
      </c>
      <c r="H18" s="452">
        <f>IF(ISNUMBER(G18/B18),G18/B18," - ")</f>
        <v>26</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1006</v>
      </c>
      <c r="D23" s="1147" t="str">
        <f>IF(ISNUMBER(C23/Datos!BI23),C23/Datos!BI23," - ")</f>
        <v xml:space="preserve"> - </v>
      </c>
      <c r="E23" s="1146">
        <f>SUBTOTAL(9,E15:E22)</f>
        <v>341</v>
      </c>
      <c r="F23" s="1147">
        <f>IF(ISNUMBER(E23/B23),E23/B23," - ")</f>
        <v>170.5</v>
      </c>
      <c r="G23" s="1146">
        <f>SUBTOTAL(9,G15:G22)</f>
        <v>263</v>
      </c>
      <c r="H23" s="1147">
        <f>IF(ISNUMBER(G23/B23),G23/B23," - ")</f>
        <v>131.5</v>
      </c>
      <c r="I23" s="1146">
        <f>SUBTOTAL(9,I15:I22)</f>
        <v>975</v>
      </c>
      <c r="J23" s="1147">
        <f>IF(ISNUMBER(I23/B23),I23/B23," - ")</f>
        <v>487.5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2658</v>
      </c>
      <c r="D31" s="1085" t="str">
        <f>IF(ISNUMBER(C31/Datos!BI31),C31/Datos!BI31," - ")</f>
        <v xml:space="preserve"> - </v>
      </c>
      <c r="E31" s="1084">
        <f>SUBTOTAL(9,E9:E30)</f>
        <v>639</v>
      </c>
      <c r="F31" s="1085">
        <f>IF(ISNUMBER(E31/B31),E31/B31," - ")</f>
        <v>319.5</v>
      </c>
      <c r="G31" s="1084">
        <f>SUBTOTAL(9,G9:G30)</f>
        <v>485</v>
      </c>
      <c r="H31" s="1085">
        <f>IF(ISNUMBER(G31/B31),G31/B31," - ")</f>
        <v>242.5</v>
      </c>
      <c r="I31" s="1084">
        <f>SUBTOTAL(9,I9:I30)</f>
        <v>2703</v>
      </c>
      <c r="J31" s="1085">
        <f>IF(ISNUMBER(I31/B31),I31/B31," - ")</f>
        <v>1351.5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e6ds1TdgQOCVpMe4EIqJND+yjEMzh9j6Mk3A5tAH0CviWd2ZhFWCae0yD2GLNEzguD/uJbNtvP2I0Er2Fqlww==" saltValue="L8WoOF1F85mmjjJetUGk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MOTILLA DEL PALANCAR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23.805555555555557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-5.1894135962636222E-3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53</v>
      </c>
      <c r="AE14" s="1257">
        <f t="shared" si="1"/>
        <v>0</v>
      </c>
      <c r="AF14" s="1257">
        <f t="shared" si="1"/>
        <v>14</v>
      </c>
      <c r="AG14" s="1257">
        <f t="shared" si="1"/>
        <v>0</v>
      </c>
      <c r="AH14" s="1257">
        <f t="shared" si="1"/>
        <v>1917</v>
      </c>
      <c r="AI14" s="1257">
        <f t="shared" si="1"/>
        <v>0</v>
      </c>
      <c r="AJ14" s="1257">
        <f t="shared" si="1"/>
        <v>0</v>
      </c>
      <c r="AK14" s="1257">
        <f t="shared" si="1"/>
        <v>0</v>
      </c>
      <c r="AL14" s="1257">
        <f t="shared" si="1"/>
        <v>49</v>
      </c>
      <c r="AM14" s="1257">
        <f t="shared" si="1"/>
        <v>71</v>
      </c>
      <c r="AN14" s="1257">
        <f t="shared" si="1"/>
        <v>0</v>
      </c>
      <c r="AO14" s="1257">
        <f t="shared" si="1"/>
        <v>0</v>
      </c>
      <c r="AP14" s="1262">
        <f>IF(ISNUMBER(((Datos!L14/Datos!K14)*11)/factor_trimestre),((Datos!L14/Datos!K14)*11)/factor_trimestre," - ")</f>
        <v>24.27669902912621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-5.1894135962636222E-3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11.121673003802281</v>
      </c>
      <c r="AQ23" s="1262">
        <f>IF(ISNUMBER(((Datos!M23/Datos!L23)*11)/factor_trimestre),((Datos!M23/Datos!L23)*11)/factor_trimestre," - ")</f>
        <v>7.6923076923076927E-2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0.15584415584415584</v>
      </c>
      <c r="AW23" s="1265">
        <f>IF(ISNUMBER((Datos!Q23-Datos!R23)/(Datos!S23-Datos!Q23+Datos!R23)),(Datos!Q23-Datos!R23)/(Datos!S23-Datos!Q23+Datos!R23)," - ")</f>
        <v>-8.5999999999999993E-2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53</v>
      </c>
      <c r="AE31" s="1284">
        <f t="shared" si="9"/>
        <v>0</v>
      </c>
      <c r="AF31" s="1285">
        <f t="shared" si="9"/>
        <v>14</v>
      </c>
      <c r="AG31" s="1285">
        <f t="shared" si="9"/>
        <v>0</v>
      </c>
      <c r="AH31" s="1285">
        <f t="shared" si="9"/>
        <v>1917</v>
      </c>
      <c r="AI31" s="1285">
        <f t="shared" si="9"/>
        <v>0</v>
      </c>
      <c r="AJ31" s="1286">
        <f t="shared" si="9"/>
        <v>0</v>
      </c>
      <c r="AK31" s="1286">
        <f t="shared" si="9"/>
        <v>0</v>
      </c>
      <c r="AL31" s="1278">
        <f t="shared" si="9"/>
        <v>49</v>
      </c>
      <c r="AM31" s="1278">
        <f t="shared" si="9"/>
        <v>71</v>
      </c>
      <c r="AN31" s="1278">
        <f t="shared" si="9"/>
        <v>0</v>
      </c>
      <c r="AO31" s="1278">
        <f t="shared" si="9"/>
        <v>0</v>
      </c>
      <c r="AP31" s="1278">
        <f>IF(ISNUMBER(((Datos!L31/Datos!K31)*11)/factor_trimestre),((Datos!L31/Datos!K31)*11)/factor_trimestre," - ")</f>
        <v>16.899786780383796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24.188151369351619</v>
      </c>
      <c r="AM33" s="1006"/>
      <c r="AN33" s="1006">
        <f>IF(ISNUMBER(STDEV(AN8:AN30)),STDEV(AN8:AN30),"-")</f>
        <v>0</v>
      </c>
      <c r="AO33" s="1012">
        <f>IF(ISNUMBER(STDEV(AO8:AO30)),STDEV(AO8:AO30),"-")</f>
        <v>0</v>
      </c>
      <c r="AP33" s="1065">
        <f>IF(ISNUMBER(STDEV(AP8:AP30)),STDEV(AP8:AP30),"-")</f>
        <v>8.8131378147932082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we0toaKU1jAan/JWZvjfbwCpFutZsHK35tyr5KrGRUGPDKSsxYe8Icl1UwkT9URM7LDudIi1iF8HsV9eOFwfg==" saltValue="ouh5p/RYjcJicVclmMZb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MOTILLA DEL PALANCAR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yLlTYubbHwMq3quR+tC7yJXphdCgTfjdKOAi04hiobgQAN+4QgExGf4i05JqE1Pt67bDlelRau341BBdMyl9w==" saltValue="AiFdVCT4NoI57c5GH+eR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MOTILLA DEL PALANCAR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71</v>
      </c>
      <c r="G12" s="452">
        <f t="shared" si="1"/>
        <v>35.5</v>
      </c>
      <c r="H12" s="451">
        <f>IF(ISNUMBER(Datos!O12),Datos!O12," - ")</f>
        <v>123</v>
      </c>
      <c r="I12" s="452">
        <f t="shared" si="2"/>
        <v>61.5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49</v>
      </c>
      <c r="E14" s="1147">
        <f t="shared" si="0"/>
        <v>16.333333333333332</v>
      </c>
      <c r="F14" s="1146">
        <f>SUBTOTAL(9,F9:F13)</f>
        <v>71</v>
      </c>
      <c r="G14" s="1147">
        <f t="shared" si="1"/>
        <v>23.666666666666668</v>
      </c>
      <c r="H14" s="1146">
        <f>SUBTOTAL(9,H9:H13)</f>
        <v>123</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20</v>
      </c>
      <c r="E17" s="452">
        <f t="shared" si="3"/>
        <v>10</v>
      </c>
      <c r="F17" s="451">
        <f>IF(ISNUMBER(Datos!N17),Datos!N17," - ")</f>
        <v>122</v>
      </c>
      <c r="G17" s="452">
        <f t="shared" si="4"/>
        <v>61</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v>
      </c>
      <c r="E23" s="1147">
        <f t="shared" si="3"/>
        <v>8.3333333333333339</v>
      </c>
      <c r="F23" s="1146">
        <f>SUBTOTAL(9,F16:F22)</f>
        <v>133</v>
      </c>
      <c r="G23" s="1147">
        <f t="shared" si="4"/>
        <v>44.333333333333336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74</v>
      </c>
      <c r="E31" s="1085">
        <f>IF(ISNUMBER(D31/B31),D31/B31," - ")</f>
        <v>37</v>
      </c>
      <c r="F31" s="1084">
        <f>SUBTOTAL(9,F8:F30)</f>
        <v>204</v>
      </c>
      <c r="G31" s="1085">
        <f>IF(ISNUMBER(F31/B31),F31/B31," - ")</f>
        <v>102</v>
      </c>
      <c r="H31" s="1084">
        <f>SUBTOTAL(9,H8:H30)</f>
        <v>123</v>
      </c>
      <c r="I31" s="1085">
        <f>IF(ISNUMBER(H31/B31),H31/B31," - ")</f>
        <v>61.5</v>
      </c>
    </row>
    <row r="34" spans="1:1">
      <c r="A34" s="439" t="str">
        <f>Criterios!A4</f>
        <v>Fecha Informe: 06 may. 2023</v>
      </c>
    </row>
    <row r="39" spans="1:1">
      <c r="A39" s="462"/>
    </row>
  </sheetData>
  <sheetProtection algorithmName="SHA-512" hashValue="hySpaARlxvbSdYxZwLuYeHvd5QH70wPKlhUME76c+kEsTnpPsZCOoxxhXHwrEilFqsKkdbZ7FTkHFk1t1l9rjQ==" saltValue="zC0oigSJ14TVl6AIsCbG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MOTILLA DEL PALANCAR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53</v>
      </c>
      <c r="D12" s="456">
        <f>IF(ISNUMBER(Datos!R12),Datos!R12," - ")</f>
        <v>1917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55</v>
      </c>
      <c r="D14" s="1148">
        <f>SUBTOTAL(9,D9:D13)</f>
        <v>1923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3</v>
      </c>
      <c r="D17" s="456">
        <f>IF(ISNUMBER(Datos!R17),Datos!R17," - ")</f>
        <v>79</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3</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58</v>
      </c>
      <c r="D31" s="1090">
        <f>SUBTOTAL(9,D8:D30)</f>
        <v>2012</v>
      </c>
    </row>
    <row r="32" spans="1:4" ht="7.5" customHeight="1"/>
    <row r="33" spans="1:1" ht="6" customHeight="1"/>
    <row r="34" spans="1:1">
      <c r="A34" s="439" t="str">
        <f>Criterios!A4</f>
        <v>Fecha Informe: 06 may. 2023</v>
      </c>
    </row>
    <row r="39" spans="1:1">
      <c r="A39" s="462"/>
    </row>
  </sheetData>
  <sheetProtection algorithmName="SHA-512" hashValue="pHmCXIG07Fz332+fr07Oqe1Vp/rEoSXGmPvHbOZ3BciQu0SqwS0S5zWENf8IDP+HluRmaqcmYFjf/l/H1+aIvg==" saltValue="rKadS4F+bW0YGrwzmOIL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MOTILLA DEL PALANCAR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0.5</v>
      </c>
      <c r="E10" s="515">
        <f>IF(ISNUMBER((Datos!L10-Datos!V10)/Datos!V10),(Datos!L10-Datos!V10)/Datos!V10," - ")</f>
        <v>-6.6666666666666666E-2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-0.25</v>
      </c>
      <c r="I10" s="515">
        <f>IF(ISNUMBER(((NºAsuntos!I10/NºAsuntos!G10)-Datos!BE10)/Datos!BE10),((NºAsuntos!I10/NºAsuntos!G10)-Datos!BE10)/Datos!BE10," - ")</f>
        <v>-0.37777777777777771</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-0.2982456140350877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0.10930074677528853</v>
      </c>
      <c r="C12" s="515">
        <f>IF(ISNUMBER(
   IF(J_V="SI",(Datos!J12-Datos!T12)/Datos!T12,(Datos!J12+Datos!Z12-(Datos!T12+Datos!AH12))/(Datos!T12+Datos!AH12))
     ),IF(J_V="SI",(Datos!J12-Datos!T12)/Datos!T12,(Datos!J12+Datos!Z12-(Datos!T12+Datos!AH12))/(Datos!T12+Datos!AH12))," - ")</f>
        <v>0.1517509727626459</v>
      </c>
      <c r="D12" s="515">
        <f>IF(ISNUMBER(
   IF(J_V="SI",(Datos!K12-Datos!U12)/Datos!U12,(Datos!K12+Datos!AA12-(Datos!U12+Datos!AI12))/(Datos!U12+Datos!AI12))
     ),IF(J_V="SI",(Datos!K12-Datos!U12)/Datos!U12,(Datos!K12+Datos!AA12-(Datos!U12+Datos!AI12))/(Datos!U12+Datos!AI12))," - ")</f>
        <v>0.30909090909090908</v>
      </c>
      <c r="E12" s="515">
        <f>IF(ISNUMBER(
   IF(J_V="SI",(Datos!L12-Datos!V12)/Datos!V12,(Datos!L12+Datos!AB12-(Datos!V12+Datos!AJ12))/(Datos!V12+Datos!AJ12))
     ),IF(J_V="SI",(Datos!L12-Datos!V12)/Datos!V12,(Datos!L12+Datos!AB12-(Datos!V12+Datos!AJ12))/(Datos!V12+Datos!AJ12))," - ")</f>
        <v>9.5207667731629392E-2</v>
      </c>
      <c r="F12" s="515">
        <f>IF(ISNUMBER((Datos!M12-Datos!W12)/Datos!W12),(Datos!M12-Datos!W12)/Datos!W12," - ")</f>
        <v>0.39393939393939392</v>
      </c>
      <c r="G12" s="516">
        <f>IF(ISNUMBER((Datos!N12-Datos!X12)/Datos!X12),(Datos!N12-Datos!X12)/Datos!X12," - ")</f>
        <v>0.73170731707317072</v>
      </c>
      <c r="H12" s="514">
        <f>IF(ISNUMBER(((NºAsuntos!G12/NºAsuntos!E12)-Datos!BD12)/Datos!BD12),((NºAsuntos!G12/NºAsuntos!E12)-Datos!BD12)/Datos!BD12," - ")</f>
        <v>0.1366093366093365</v>
      </c>
      <c r="I12" s="515">
        <f>IF(ISNUMBER(((NºAsuntos!I12/NºAsuntos!G12)-Datos!BE12)/Datos!BE12),((NºAsuntos!I12/NºAsuntos!G12)-Datos!BE12)/Datos!BE12," - ")</f>
        <v>-0.1633830315938942</v>
      </c>
      <c r="J12" s="521">
        <f>IF(ISNUMBER((('Resol  Asuntos'!D12/NºAsuntos!G12)-Datos!BF12)/Datos!BF12),(('Resol  Asuntos'!D12/NºAsuntos!G12)-Datos!BF12)/Datos!BF12," - ")</f>
        <v>-0.14295392953929534</v>
      </c>
      <c r="K12" s="522">
        <f>IF(ISNUMBER((((NºAsuntos!C12+NºAsuntos!E12)/NºAsuntos!G12)-Datos!BG12)/Datos!BG12),(((NºAsuntos!C12+NºAsuntos!E12)/NºAsuntos!G12)-Datos!BG12)/Datos!BG12," - ")</f>
        <v>-0.14780025690430312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0.107981220657277</v>
      </c>
      <c r="C14" s="1152">
        <f>IF(ISNUMBER(
   IF(J_V="SI",(Datos!J14-Datos!T14)/Datos!T14,(Datos!J14+Datos!Z14-(Datos!T14+Datos!AH14))/(Datos!T14+Datos!AH14))
     ),IF(J_V="SI",(Datos!J14-Datos!T14)/Datos!T14,(Datos!J14+Datos!Z14-(Datos!T14+Datos!AH14))/(Datos!T14+Datos!AH14))," - ")</f>
        <v>0.15503875968992248</v>
      </c>
      <c r="D14" s="1152">
        <f>IF(ISNUMBER(
   IF(J_V="SI",(Datos!K14-Datos!U14)/Datos!U14,(Datos!K14+Datos!AA14-(Datos!U14+Datos!AI14))/(Datos!U14+Datos!AI14))
     ),IF(J_V="SI",(Datos!K14-Datos!U14)/Datos!U14,(Datos!K14+Datos!AA14-(Datos!U14+Datos!AI14))/(Datos!U14+Datos!AI14))," - ")</f>
        <v>0.31360946745562129</v>
      </c>
      <c r="E14" s="1152">
        <f>IF(ISNUMBER(
   IF(J_V="SI",(Datos!L14-Datos!V14)/Datos!V14,(Datos!L14+Datos!AB14-(Datos!V14+Datos!AJ14))/(Datos!V14+Datos!AJ14))
     ),IF(J_V="SI",(Datos!L14-Datos!V14)/Datos!V14,(Datos!L14+Datos!AB14-(Datos!V14+Datos!AJ14))/(Datos!V14+Datos!AJ14))," - ")</f>
        <v>9.3670886075949367E-2</v>
      </c>
      <c r="F14" s="1153">
        <f>IF(ISNUMBER((Datos!M14-Datos!W14)/Datos!W14),(Datos!M14-Datos!W14)/Datos!W14," - ")</f>
        <v>0.3611111111111111</v>
      </c>
      <c r="G14" s="1154">
        <f>IF(ISNUMBER((Datos!N14-Datos!X14)/Datos!X14),(Datos!N14-Datos!X14)/Datos!X14," - ")</f>
        <v>0.69047619047619047</v>
      </c>
      <c r="H14" s="1154">
        <f>IF(ISNUMBER(((NºAsuntos!G14/NºAsuntos!E14)-Datos!BD14)/Datos!BD14),((NºAsuntos!G14/NºAsuntos!E14)-Datos!BD14)/Datos!BD14," - ")</f>
        <v>0.1372860490052023</v>
      </c>
      <c r="I14" s="1154">
        <f>IF(ISNUMBER(((NºAsuntos!I14/NºAsuntos!G14)-Datos!BE14)/Datos!BE14),((NºAsuntos!I14/NºAsuntos!G14)-Datos!BE14)/Datos!BE14," - ")</f>
        <v>-0.16743072186110161</v>
      </c>
      <c r="J14" s="1154">
        <f>IF(ISNUMBER((('Resol  Asuntos'!D14/NºAsuntos!G14)-Datos!BF14)/Datos!BF14),(('Resol  Asuntos'!D14/NºAsuntos!G14)-Datos!BF14)/Datos!BF14," - ")</f>
        <v>-0.15223177723177725</v>
      </c>
      <c r="K14" s="1154">
        <f>IF(ISNUMBER((((NºAsuntos!C14+NºAsuntos!E14)/NºAsuntos!G14)-Datos!BG14)/Datos!BG14),(((NºAsuntos!C14+NºAsuntos!E14)/NºAsuntos!G14)-Datos!BG14)/Datos!BG14," - ")</f>
        <v>-0.1512524531392456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0.11471610660486674</v>
      </c>
      <c r="C17" s="515">
        <f>IF(ISNUMBER(
   IF(D_I="SI",(Datos!J17-Datos!T17)/Datos!T17,(Datos!J17+Datos!AD17-(Datos!T17+Datos!AL17))/(Datos!T17+Datos!AL17))
     ),IF(D_I="SI",(Datos!J17-Datos!T17)/Datos!T17,(Datos!J17+Datos!AD17-(Datos!T17+Datos!AL17))/(Datos!T17+Datos!AL17))," - ")</f>
        <v>9.7902097902097904E-2</v>
      </c>
      <c r="D17" s="515">
        <f>IF(ISNUMBER(
   IF(D_I="SI",(Datos!K17-Datos!U17)/Datos!U17,(Datos!K17+Datos!AE17-(Datos!U17+Datos!AM17))/(Datos!U17+Datos!AM17))
     ),IF(D_I="SI",(Datos!K17-Datos!U17)/Datos!U17,(Datos!K17+Datos!AE17-(Datos!U17+Datos!AM17))/(Datos!U17+Datos!AM17))," - ")</f>
        <v>-0.2280130293159609</v>
      </c>
      <c r="E17" s="515">
        <f>IF(ISNUMBER(
   IF(D_I="SI",(Datos!L17-Datos!V17)/Datos!V17,(Datos!L17+Datos!AF17-(Datos!V17+Datos!AN17))/(Datos!V17+Datos!AN17))
     ),IF(D_I="SI",(Datos!L17-Datos!V17)/Datos!V17,(Datos!L17+Datos!AF17-(Datos!V17+Datos!AN17))/(Datos!V17+Datos!AN17))," - ")</f>
        <v>0.10451306413301663</v>
      </c>
      <c r="F17" s="515">
        <f>IF(ISNUMBER((Datos!M17-Datos!W17)/Datos!W17),(Datos!M17-Datos!W17)/Datos!W17," - ")</f>
        <v>-0.44444444444444442</v>
      </c>
      <c r="G17" s="516">
        <f>IF(ISNUMBER((Datos!N17-Datos!X17)/Datos!X17),(Datos!N17-Datos!X17)/Datos!X17," - ")</f>
        <v>-0.31073446327683618</v>
      </c>
      <c r="H17" s="514">
        <f>IF(ISNUMBER(((NºAsuntos!G17/NºAsuntos!E17)-Datos!BD17)/Datos!BD17),((NºAsuntos!G17/NºAsuntos!E17)-Datos!BD17)/Datos!BD17," - ")</f>
        <v>-0.29685263179734006</v>
      </c>
      <c r="I17" s="515">
        <f>IF(ISNUMBER(((NºAsuntos!I17/NºAsuntos!G17)-Datos!BE17)/Datos!BE17),((NºAsuntos!I17/NºAsuntos!G17)-Datos!BE17)/Datos!BE17," - ")</f>
        <v>0.43074055142968826</v>
      </c>
      <c r="J17" s="521">
        <f>IF(ISNUMBER((('Resol  Asuntos'!D17/NºAsuntos!G17)-Datos!BF17)/Datos!BF17),(('Resol  Asuntos'!D17/NºAsuntos!G17)-Datos!BF17)/Datos!BF17," - ")</f>
        <v>-0.28035630567276137</v>
      </c>
      <c r="K17" s="522">
        <f>IF(ISNUMBER((((NºAsuntos!C17+NºAsuntos!E17)/NºAsuntos!G17)-Datos!BG17)/Datos!BG17),(((NºAsuntos!C17+NºAsuntos!E17)/NºAsuntos!G17)-Datos!BG17)/Datos!BG17," - ")</f>
        <v>0.43853580255074126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-0.13725490196078433</v>
      </c>
      <c r="C18" s="515">
        <f>IF(ISNUMBER(
   IF(D_I="SI",(Datos!J18-Datos!T18)/Datos!T18,(Datos!J18+Datos!AD18-(Datos!T18+Datos!AL18))/(Datos!T18+Datos!AL18))
     ),IF(D_I="SI",(Datos!J18-Datos!T18)/Datos!T18,(Datos!J18+Datos!AD18-(Datos!T18+Datos!AL18))/(Datos!T18+Datos!AL18))," - ")</f>
        <v>3.8461538461538464E-2</v>
      </c>
      <c r="D18" s="515">
        <f>IF(ISNUMBER(
   IF(D_I="SI",(Datos!K18-Datos!U18)/Datos!U18,(Datos!K18+Datos!AE18-(Datos!U18+Datos!AM18))/(Datos!U18+Datos!AM18))
     ),IF(D_I="SI",(Datos!K18-Datos!U18)/Datos!U18,(Datos!K18+Datos!AE18-(Datos!U18+Datos!AM18))/(Datos!U18+Datos!AM18))," - ")</f>
        <v>-0.1875</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-0.47619047619047616</v>
      </c>
      <c r="H18" s="514">
        <f>IF(ISNUMBER(((NºAsuntos!G18/NºAsuntos!E18)-Datos!BD18)/Datos!BD18),((NºAsuntos!G18/NºAsuntos!E18)-Datos!BD18)/Datos!BD18," - ")</f>
        <v>-0.21759259259259267</v>
      </c>
      <c r="I18" s="515">
        <f>IF(ISNUMBER(((NºAsuntos!I18/NºAsuntos!G18)-Datos!BE18)/Datos!BE18),((NºAsuntos!I18/NºAsuntos!G18)-Datos!BE18)/Datos!BE18," - ")</f>
        <v>0.23076923076923081</v>
      </c>
      <c r="J18" s="521">
        <f>IF(ISNUMBER((('Resol  Asuntos'!D18/NºAsuntos!G18)-Datos!BF18)/Datos!BF18),(('Resol  Asuntos'!D18/NºAsuntos!G18)-Datos!BF18)/Datos!BF18," - ")</f>
        <v>0.23076923076923084</v>
      </c>
      <c r="K18" s="522">
        <f>IF(ISNUMBER((((NºAsuntos!C18+NºAsuntos!E18)/NºAsuntos!G18)-Datos!BG18)/Datos!BG18),(((NºAsuntos!C18+NºAsuntos!E18)/NºAsuntos!G18)-Datos!BG18)/Datos!BG18," - ")</f>
        <v>0.13486513486513491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0.10065645514223195</v>
      </c>
      <c r="C23" s="1152">
        <f>IF(ISNUMBER(
   IF(Criterios!B14="SI",(Datos!J23-Datos!T23)/Datos!T23,(Datos!J23+Datos!AD23-(Datos!T23+Datos!AL23))/(Datos!T23+Datos!AL23))
     ),IF(Criterios!B14="SI",(Datos!J23-Datos!T23)/Datos!T23,(Datos!J23+Datos!AD23-(Datos!T23+Datos!AL23))/(Datos!T23+Datos!AL23))," - ")</f>
        <v>9.2948717948717952E-2</v>
      </c>
      <c r="D23" s="1152">
        <f>IF(ISNUMBER(
   IF(Criterios!B14="SI",(Datos!K23-Datos!U23)/Datos!U23,(Datos!K23+Datos!AE23-(Datos!U23+Datos!AM23))/(Datos!U23+Datos!AM23))
     ),IF(Criterios!B14="SI",(Datos!K23-Datos!U23)/Datos!U23,(Datos!K23+Datos!AE23-(Datos!U23+Datos!AM23))/(Datos!U23+Datos!AM23))," - ")</f>
        <v>-0.22418879056047197</v>
      </c>
      <c r="E23" s="1152">
        <f>IF(ISNUMBER(
   IF(Criterios!B14="SI",(Datos!L23-Datos!V23)/Datos!V23,(Datos!L23+Datos!AF23-(Datos!V23+Datos!AN23))/(Datos!V23+Datos!AN23))
     ),IF(Criterios!B14="SI",(Datos!L23-Datos!V23)/Datos!V23,(Datos!L23+Datos!AF23-(Datos!V23+Datos!AN23))/(Datos!V23+Datos!AN23))," - ")</f>
        <v>9.92108229988726E-2</v>
      </c>
      <c r="F23" s="1153">
        <f>IF(ISNUMBER((Datos!M23-Datos!W23)/Datos!W23),(Datos!M23-Datos!W23)/Datos!W23," - ")</f>
        <v>-0.3902439024390244</v>
      </c>
      <c r="G23" s="1154">
        <f>IF(ISNUMBER((Datos!N23-Datos!X23)/Datos!X23),(Datos!N23-Datos!X23)/Datos!X23," - ")</f>
        <v>-0.32828282828282829</v>
      </c>
      <c r="H23" s="1154">
        <f>IF(ISNUMBER(((NºAsuntos!G23/NºAsuntos!E23)-Datos!BD23)/Datos!BD23),((NºAsuntos!G23/NºAsuntos!E23)-Datos!BD23)/Datos!BD23," - ")</f>
        <v>-0.29016686995562241</v>
      </c>
      <c r="I23" s="1154">
        <f>IF(ISNUMBER(((NºAsuntos!I23/NºAsuntos!G23)-Datos!BE23)/Datos!BE23),((NºAsuntos!I23/NºAsuntos!G23)-Datos!BE23)/Datos!BE23," - ")</f>
        <v>0.41685349428371787</v>
      </c>
      <c r="J23" s="1154">
        <f>IF(ISNUMBER((('Resol  Asuntos'!D23/NºAsuntos!G23)-Datos!BF23)/Datos!BF23),(('Resol  Asuntos'!D23/NºAsuntos!G23)-Datos!BF23)/Datos!BF23," - ")</f>
        <v>-0.21404061949364744</v>
      </c>
      <c r="K23" s="1154">
        <f>IF(ISNUMBER((((NºAsuntos!C23+NºAsuntos!E23)/NºAsuntos!G23)-Datos!BG23)/Datos!BG23),(((NºAsuntos!C23+NºAsuntos!E23)/NºAsuntos!G23)-Datos!BG23)/Datos!BG23," - ")</f>
        <v>0.41618853857175642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0.1051975051975052</v>
      </c>
      <c r="C31" s="1092">
        <f>IF(ISNUMBER(
   IF(J_V="SI",(Datos!J31-Datos!T31)/Datos!T31,(Datos!J31+Datos!Z31-(Datos!T31+Datos!AH31))/(Datos!T31+Datos!AH31))
     ),IF(J_V="SI",(Datos!J31-Datos!T31)/Datos!T31,(Datos!J31+Datos!Z31-(Datos!T31+Datos!AH31))/(Datos!T31+Datos!AH31))," - ")</f>
        <v>0.12105263157894737</v>
      </c>
      <c r="D31" s="1092">
        <f>IF(ISNUMBER(
   IF(J_V="SI",(Datos!K31-Datos!U31)/Datos!U31,(Datos!K31+Datos!AA31-(Datos!U31+Datos!AI31))/(Datos!U31+Datos!AI31))
     ),IF(J_V="SI",(Datos!K31-Datos!U31)/Datos!U31,(Datos!K31+Datos!AA31-(Datos!U31+Datos!AI31))/(Datos!U31+Datos!AI31))," - ")</f>
        <v>-4.5275590551181105E-2</v>
      </c>
      <c r="E31" s="1092">
        <f>IF(ISNUMBER(
   IF(J_V="SI",(Datos!L31-Datos!V31)/Datos!V31,(Datos!L31+Datos!AB31-(Datos!V31+Datos!AJ31))/(Datos!V31+Datos!AJ31))
     ),IF(J_V="SI",(Datos!L31-Datos!V31)/Datos!V31,(Datos!L31+Datos!AB31-(Datos!V31+Datos!AJ31))/(Datos!V31+Datos!AJ31))," - ")</f>
        <v>9.5662748277259832E-2</v>
      </c>
      <c r="F31" s="1093">
        <f>IF(ISNUMBER((Datos!M31-Datos!W31)/Datos!W31),(Datos!M31-Datos!W31)/Datos!W31," - ")</f>
        <v>-3.896103896103896E-2</v>
      </c>
      <c r="G31" s="1094">
        <f>IF(ISNUMBER((Datos!N31-Datos!X31)/Datos!X31),(Datos!N31-Datos!X31)/Datos!X31," - ")</f>
        <v>-0.15</v>
      </c>
      <c r="H31" s="1095">
        <f>IF(ISNUMBER((Tasas!B31-Datos!BD31)/Datos!BD31),(Tasas!B31-Datos!BD31)/Datos!BD31," - ")</f>
        <v>-0.14836789767476252</v>
      </c>
      <c r="I31" s="1096">
        <f>IF(ISNUMBER((Tasas!C31-Datos!BE31)/Datos!BE31),(Tasas!C31-Datos!BE31)/Datos!BE31," - ")</f>
        <v>0.14762201262855257</v>
      </c>
      <c r="J31" s="1097">
        <f>IF(ISNUMBER((Tasas!D31-Datos!BF31)/Datos!BF31),(Tasas!D31-Datos!BF31)/Datos!BF31," - ")</f>
        <v>-8.8126137052759221E-2</v>
      </c>
      <c r="K31" s="1097">
        <f>IF(ISNUMBER((Tasas!E31-Datos!BG31)/Datos!BG31),(Tasas!E31-Datos!BG31)/Datos!BG31," - ")</f>
        <v>0.16079078229229837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xe6ejg3dFmhcxJE57WpnouyySLvPdGu9xvETPi2qLH+4Wl9SRSOBPZGMJ7UIn4F5fPeBUsWBzI3bzkspqj5mA==" saltValue="o/8OISkeiq071k3GQvu8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MOTILLA DEL PALANCAR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2.3333333333333335</v>
      </c>
      <c r="D10" s="499">
        <f>IF(ISNUMBER('Resol  Asuntos'!D10/NºAsuntos!G10),'Resol  Asuntos'!D10/NºAsuntos!G10," - ")</f>
        <v>0.5</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0.72972972972972971</v>
      </c>
      <c r="C12" s="498">
        <f>IF(ISNUMBER(NºAsuntos!I12/NºAsuntos!G12),NºAsuntos!I12/NºAsuntos!G12," - ")</f>
        <v>7.9351851851851851</v>
      </c>
      <c r="D12" s="499">
        <f>IF(ISNUMBER('Resol  Asuntos'!D12/NºAsuntos!G12),'Resol  Asuntos'!D12/NºAsuntos!G12," - ")</f>
        <v>0.21296296296296297</v>
      </c>
      <c r="E12" s="500">
        <f>IF(ISNUMBER((NºAsuntos!C12+NºAsuntos!E12)/NºAsuntos!G12),(NºAsuntos!C12+NºAsuntos!E12)/NºAsuntos!G12," - ")</f>
        <v>8.9351851851851851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0.74496644295302017</v>
      </c>
      <c r="C14" s="1156">
        <f>IF(ISNUMBER(NºAsuntos!I14/NºAsuntos!G14),NºAsuntos!I14/NºAsuntos!G14," - ")</f>
        <v>7.7837837837837842</v>
      </c>
      <c r="D14" s="1157">
        <f>IF(ISNUMBER('Resol  Asuntos'!D14/NºAsuntos!G14),'Resol  Asuntos'!D14/NºAsuntos!G14," - ")</f>
        <v>0.22072072072072071</v>
      </c>
      <c r="E14" s="1158">
        <f>IF(ISNUMBER((NºAsuntos!C14+NºAsuntos!E14)/NºAsuntos!G14),(NºAsuntos!C14+NºAsuntos!E14)/NºAsuntos!G14," - ")</f>
        <v>8.7837837837837842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0.75477707006369432</v>
      </c>
      <c r="C17" s="498">
        <f>IF(ISNUMBER(NºAsuntos!I17/NºAsuntos!G17),NºAsuntos!I17/NºAsuntos!G17," - ")</f>
        <v>3.9240506329113924</v>
      </c>
      <c r="D17" s="499">
        <f>IF(ISNUMBER('Resol  Asuntos'!D17/NºAsuntos!G17),'Resol  Asuntos'!D17/NºAsuntos!G17," - ")</f>
        <v>8.4388185654008435E-2</v>
      </c>
      <c r="E17" s="500">
        <f>IF(ISNUMBER((NºAsuntos!C17+NºAsuntos!E17)/NºAsuntos!G17),(NºAsuntos!C17+NºAsuntos!E17)/NºAsuntos!G17," - ")</f>
        <v>5.3839662447257384</v>
      </c>
      <c r="G17" s="523"/>
    </row>
    <row r="18" spans="1:7">
      <c r="A18" s="450" t="str">
        <f>Datos!A18</f>
        <v>Jdos. Violencia contra la mujer</v>
      </c>
      <c r="B18" s="497">
        <f>IF(ISNUMBER(NºAsuntos!G18/NºAsuntos!E18),NºAsuntos!G18/NºAsuntos!E18," - ")</f>
        <v>0.96296296296296291</v>
      </c>
      <c r="C18" s="498">
        <f>IF(ISNUMBER(NºAsuntos!I18/NºAsuntos!G18),NºAsuntos!I18/NºAsuntos!G18," - ")</f>
        <v>1.7307692307692308</v>
      </c>
      <c r="D18" s="499">
        <f>IF(ISNUMBER('Resol  Asuntos'!D18/NºAsuntos!G18),'Resol  Asuntos'!D18/NºAsuntos!G18," - ")</f>
        <v>0.19230769230769232</v>
      </c>
      <c r="E18" s="500">
        <f>IF(ISNUMBER((NºAsuntos!C18+NºAsuntos!E18)/NºAsuntos!G18),(NºAsuntos!C18+NºAsuntos!E18)/NºAsuntos!G18," - ")</f>
        <v>2.7307692307692308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0.77126099706744866</v>
      </c>
      <c r="C23" s="1156">
        <f>IF(ISNUMBER(NºAsuntos!I23/NºAsuntos!G23),NºAsuntos!I23/NºAsuntos!G23," - ")</f>
        <v>3.7072243346007605</v>
      </c>
      <c r="D23" s="1159">
        <f>IF(ISNUMBER('Resol  Asuntos'!D23/NºAsuntos!G23),'Resol  Asuntos'!D23/NºAsuntos!G23," - ")</f>
        <v>9.5057034220532313E-2</v>
      </c>
      <c r="E23" s="1158">
        <f>IF(ISNUMBER((NºAsuntos!C23+NºAsuntos!E23)/NºAsuntos!G23),(NºAsuntos!C23+NºAsuntos!E23)/NºAsuntos!G23," - ")</f>
        <v>5.1216730038022815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0.75899843505477305</v>
      </c>
      <c r="C31" s="1099">
        <f>IF(ISNUMBER(NºAsuntos!I31/NºAsuntos!G31),NºAsuntos!I31/NºAsuntos!G31," - ")</f>
        <v>5.5731958762886595</v>
      </c>
      <c r="D31" s="1100">
        <f>IF(ISNUMBER('Resol  Asuntos'!D31/NºAsuntos!G31),'Resol  Asuntos'!D31/NºAsuntos!G31," - ")</f>
        <v>0.15257731958762888</v>
      </c>
      <c r="E31" s="1101">
        <f>IF(ISNUMBER((NºAsuntos!C31+NºAsuntos!E31)/NºAsuntos!G31),(NºAsuntos!C31+NºAsuntos!E31)/NºAsuntos!G31," - ")</f>
        <v>6.7979381443298967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Dweq/+aam+Vv3m/TAhDFswL6YZwZZrIxEr/dYCh4jZvFpR+l8uBuWlp0hB4qPXHk2ZULWFlcYtp6yKCWfPo4A==" saltValue="xlNzb6hmF46+JkPk1Nng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MOTILLA DEL PALANCAR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2</v>
      </c>
      <c r="Y10" s="374">
        <f t="shared" ref="Y10:Y13" si="0">SUM(W10:X10)</f>
        <v>8</v>
      </c>
      <c r="Z10" s="375" t="str">
        <f>IF(ISNUMBER(Datos!CC10),Datos!CC10," - ")</f>
        <v xml:space="preserve"> - </v>
      </c>
      <c r="AA10" s="372">
        <f>IF(ISNUMBER(Datos!L10),Datos!L10,"-")</f>
        <v>14</v>
      </c>
      <c r="AB10" s="374">
        <f>IF(ISNUMBER(Datos!R10),Datos!R10," - ")</f>
        <v>6</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7.0000000000000009</v>
      </c>
      <c r="AN10" s="267">
        <f>IF(ISNUMBER('Resol  Asuntos'!D10/NºAsuntos!G10),'Resol  Asuntos'!D10/NºAsuntos!G10," - ")</f>
        <v>0.5</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0.72972972972972971</v>
      </c>
      <c r="AM12" s="284">
        <f>IF(ISNUMBER(((NºAsuntos!I12/NºAsuntos!G12)*11)/factor_trimestre),((NºAsuntos!I12/NºAsuntos!G12)*11)/factor_trimestre," - ")</f>
        <v>23.805555555555557</v>
      </c>
      <c r="AN12" s="267">
        <f>IF(ISNUMBER('Resol  Asuntos'!D12/NºAsuntos!G12),'Resol  Asuntos'!D12/NºAsuntos!G12," - ")</f>
        <v>0.21296296296296297</v>
      </c>
      <c r="AO12" s="268">
        <f>IF(ISNUMBER((NºAsuntos!C12+NºAsuntos!E12)/NºAsuntos!G12),(NºAsuntos!C12+NºAsuntos!E12)/NºAsuntos!G12," - ")</f>
        <v>8.9351851851851851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55</v>
      </c>
      <c r="Y14" s="1165">
        <f t="shared" si="6"/>
        <v>61</v>
      </c>
      <c r="Z14" s="1165">
        <f t="shared" si="6"/>
        <v>0</v>
      </c>
      <c r="AA14" s="1165">
        <f t="shared" si="6"/>
        <v>14</v>
      </c>
      <c r="AB14" s="1165">
        <f t="shared" si="6"/>
        <v>1923</v>
      </c>
      <c r="AC14" s="1165">
        <f t="shared" si="6"/>
        <v>20</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0.74496644295302017</v>
      </c>
      <c r="AM14" s="1171">
        <f>IF(ISNUMBER(((NºAsuntos!I14/NºAsuntos!G14)*11)/factor_trimestre),((NºAsuntos!I14/NºAsuntos!G14)*11)/factor_trimestre," - ")</f>
        <v>23.351351351351354</v>
      </c>
      <c r="AN14" s="1172">
        <f>IF(ISNUMBER('Resol  Asuntos'!D14/NºAsuntos!G14),'Resol  Asuntos'!D14/NºAsuntos!G14," - ")</f>
        <v>0.22072072072072071</v>
      </c>
      <c r="AO14" s="1173">
        <f>IF(ISNUMBER((NºAsuntos!C14+NºAsuntos!E14)/NºAsuntos!G14),(NºAsuntos!C14+NºAsuntos!E14)/NºAsuntos!G14," - ")</f>
        <v>8.7837837837837842</v>
      </c>
      <c r="AP14" s="1174" t="str">
        <f t="shared" si="2"/>
        <v xml:space="preserve"> - </v>
      </c>
      <c r="AQ14" s="1174">
        <f>IF(ISNUMBER((H14-W14+K14)/(F14)),(H14-W14+K14)/(F14)," - ")</f>
        <v>-0.33333333333333331</v>
      </c>
      <c r="AR14" s="1175">
        <f>IF(ISNUMBER((Datos!P14-Datos!Q14)/(Datos!R14-Datos!P14+Datos!Q14)),(Datos!P14-Datos!Q14)/(Datos!R14-Datos!P14+Datos!Q14)," - ")</f>
        <v>-6.2015503875968991E-3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853</v>
      </c>
      <c r="G17" s="373">
        <f>IF(ISNUMBER(IF(D_I="SI",Datos!I17,Datos!I17+Datos!AC17)),IF(D_I="SI",Datos!I17,Datos!I17+Datos!AC17)," - ")</f>
        <v>962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237</v>
      </c>
      <c r="X17" s="240">
        <f>IF(ISNUMBER(Datos!Q17),Datos!Q17," - ")</f>
        <v>3</v>
      </c>
      <c r="Y17" s="374">
        <f t="shared" ref="Y17:Y22" si="9">SUM(W17:X17)</f>
        <v>240</v>
      </c>
      <c r="Z17" s="375" t="str">
        <f>IF(ISNUMBER(Datos!CC17),Datos!CC17," - ")</f>
        <v xml:space="preserve"> - </v>
      </c>
      <c r="AA17" s="372">
        <f>IF(ISNUMBER(IF(D_I="SI",Datos!L17,Datos!L17+Datos!AF17)),IF(D_I="SI",Datos!L17,Datos!L17+Datos!AF17)," - ")</f>
        <v>930</v>
      </c>
      <c r="AB17" s="374">
        <f>IF(ISNUMBER(Datos!R17),Datos!R17," - ")</f>
        <v>79</v>
      </c>
      <c r="AC17" s="374">
        <f t="shared" si="8"/>
        <v>1009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0.75477707006369432</v>
      </c>
      <c r="AM17" s="284">
        <f>IF(ISNUMBER(((NºAsuntos!I17/NºAsuntos!G17)*11)/factor_trimestre),((NºAsuntos!I17/NºAsuntos!G17)*11)/factor_trimestre," - ")</f>
        <v>11.772151898734178</v>
      </c>
      <c r="AN17" s="267">
        <f>IF(ISNUMBER('Resol  Asuntos'!D17/NºAsuntos!G17),'Resol  Asuntos'!D17/NºAsuntos!G17," - ")</f>
        <v>8.4388185654008435E-2</v>
      </c>
      <c r="AO17" s="268">
        <f>IF(ISNUMBER((NºAsuntos!C17+NºAsuntos!E17)/NºAsuntos!G17),(NºAsuntos!C17+NºAsuntos!E17)/NºAsuntos!G17," - ")</f>
        <v>5.3839662447257384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45</v>
      </c>
      <c r="AB18" s="374">
        <f>IF(ISNUMBER(Datos!R18),Datos!R18," - ")</f>
        <v>10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0.96296296296296291</v>
      </c>
      <c r="AM18" s="284">
        <f>IF(ISNUMBER(((NºAsuntos!I18/NºAsuntos!G18)*11)/factor_trimestre),((NºAsuntos!I18/NºAsuntos!G18)*11)/factor_trimestre," - ")</f>
        <v>5.1923076923076934</v>
      </c>
      <c r="AN18" s="267">
        <f>IF(ISNUMBER('Resol  Asuntos'!D18/NºAsuntos!G18),'Resol  Asuntos'!D18/NºAsuntos!G18," - ")</f>
        <v>0.19230769230769232</v>
      </c>
      <c r="AO18" s="268">
        <f>IF(ISNUMBER((NºAsuntos!C18+NºAsuntos!E18)/NºAsuntos!G18),(NºAsuntos!C18+NºAsuntos!E18)/NºAsuntos!G18," - ")</f>
        <v>2.7307692307692308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853</v>
      </c>
      <c r="G23" s="1163">
        <f>SUBTOTAL(9,G16:G22)</f>
        <v>1006</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263</v>
      </c>
      <c r="X23" s="1164">
        <f t="shared" si="14"/>
        <v>3</v>
      </c>
      <c r="Y23" s="1165">
        <f t="shared" si="14"/>
        <v>266</v>
      </c>
      <c r="Z23" s="1165">
        <f t="shared" si="14"/>
        <v>0</v>
      </c>
      <c r="AA23" s="1165">
        <f t="shared" si="14"/>
        <v>975</v>
      </c>
      <c r="AB23" s="1165">
        <f t="shared" si="14"/>
        <v>89</v>
      </c>
      <c r="AC23" s="1165">
        <f t="shared" si="14"/>
        <v>1064</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0.77126099706744866</v>
      </c>
      <c r="AM23" s="1171">
        <f>IF(ISNUMBER(((NºAsuntos!I23/NºAsuntos!G23)*11)/factor_trimestre),((NºAsuntos!I23/NºAsuntos!G23)*11)/factor_trimestre," - ")</f>
        <v>11.121673003802281</v>
      </c>
      <c r="AN23" s="1172">
        <f>IF(ISNUMBER('Resol  Asuntos'!D23/NºAsuntos!G23),'Resol  Asuntos'!D23/NºAsuntos!G23," - ")</f>
        <v>9.5057034220532313E-2</v>
      </c>
      <c r="AO23" s="1173">
        <f>IF(ISNUMBER((NºAsuntos!C23+NºAsuntos!E23)/NºAsuntos!G23),(NºAsuntos!C23+NºAsuntos!E23)/NºAsuntos!G23," - ")</f>
        <v>5.1216730038022815</v>
      </c>
      <c r="AP23" s="1174" t="str">
        <f t="shared" si="2"/>
        <v xml:space="preserve"> - </v>
      </c>
      <c r="AQ23" s="1174">
        <f>IF(ISNUMBER((H23-W23+K23)/(F23)),(H23-W23+K23)/(F23)," - ")</f>
        <v>-0.30832356389214538</v>
      </c>
      <c r="AR23" s="1175">
        <f>IF(ISNUMBER((Datos!P23-Datos!Q23)/(Datos!R23-Datos!P23+Datos!Q23)),(Datos!P23-Datos!Q23)/(Datos!R23-Datos!P23+Datos!Q23)," - ")</f>
        <v>0.15584415584415584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871</v>
      </c>
      <c r="G31" s="1118">
        <f t="shared" si="20"/>
        <v>1024</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269</v>
      </c>
      <c r="X31" s="1118">
        <f t="shared" si="21"/>
        <v>58</v>
      </c>
      <c r="Y31" s="1125">
        <f t="shared" si="21"/>
        <v>327</v>
      </c>
      <c r="Z31" s="1125">
        <f t="shared" si="21"/>
        <v>0</v>
      </c>
      <c r="AA31" s="1125">
        <f t="shared" si="21"/>
        <v>989</v>
      </c>
      <c r="AB31" s="1125">
        <f t="shared" si="21"/>
        <v>2012</v>
      </c>
      <c r="AC31" s="1125">
        <f t="shared" si="21"/>
        <v>1084</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0.75899843505477305</v>
      </c>
      <c r="AM31" s="1184">
        <f>IF(ISNUMBER(((NºAsuntos!I31/NºAsuntos!G31)*11)/factor_trimestre),((NºAsuntos!I31/NºAsuntos!G31)*11)/factor_trimestre," - ")</f>
        <v>16.71958762886598</v>
      </c>
      <c r="AN31" s="1184">
        <f>IF(ISNUMBER('Resol  Asuntos'!D31/NºAsuntos!G31),'Resol  Asuntos'!D31/NºAsuntos!G31," - ")</f>
        <v>0.15257731958762888</v>
      </c>
      <c r="AO31" s="1185">
        <f>IF(ISNUMBER((NºAsuntos!C31+NºAsuntos!E31)/NºAsuntos!G31),(NºAsuntos!C31+NºAsuntos!E31)/NºAsuntos!G31," - ")</f>
        <v>6.7979381443298967</v>
      </c>
      <c r="AP31" s="1186" t="str">
        <f t="shared" si="2"/>
        <v xml:space="preserve"> - </v>
      </c>
      <c r="AQ31" s="1187">
        <f>IF(OR(ISNUMBER(FIND("01",Criterios!A8,1)),ISNUMBER(FIND("02",Criterios!A8,1)),ISNUMBER(FIND("03",Criterios!A8,1)),ISNUMBER(FIND("04",Criterios!A8,1))),(I31-W31+K31)/(F31-K31),(H31-W31+K31)/(F31-K31))</f>
        <v>-0.30884041331802525</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435.91405880823191</v>
      </c>
      <c r="G33" s="277">
        <f>IF(ISNUMBER(STDEV(G8:G30)),STDEV(G8:G30),"-")</f>
        <v>472.73631026992103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118.83942748014871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20.135256924821483</v>
      </c>
      <c r="AJ33" s="276">
        <f t="shared" si="25"/>
        <v>0</v>
      </c>
      <c r="AK33" s="278">
        <f t="shared" si="25"/>
        <v>0</v>
      </c>
      <c r="AL33" s="273">
        <f t="shared" si="25"/>
        <v>0.9052215541011992</v>
      </c>
      <c r="AM33" s="274">
        <f t="shared" si="25"/>
        <v>8.0362394695998898</v>
      </c>
      <c r="AN33" s="274">
        <f t="shared" si="25"/>
        <v>0.15045455349169648</v>
      </c>
      <c r="AO33" s="275">
        <f t="shared" si="25"/>
        <v>2.639189872978799</v>
      </c>
      <c r="AP33" s="317" t="str">
        <f t="shared" si="25"/>
        <v>-</v>
      </c>
      <c r="AQ33" s="318">
        <f t="shared" si="25"/>
        <v>1.768457756777608E-2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lGYBPlck3yRl78CRGbkDsniA4DrvlDRO9cqaiSsAtY4ibYOq6Jb/C7kahhoa8wq4wdtE8Rjy3C0x31ENPZBRA==" saltValue="+aBafsObpzBahAF8Vk/z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MOTILLA DEL PALANCAR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0.5</v>
      </c>
      <c r="G10" s="394">
        <f>IF(ISNUMBER((Datos!L10-Datos!V10)/Datos!V10),(Datos!L10-Datos!V10)/Datos!V10," - ")</f>
        <v>-6.6666666666666666E-2</v>
      </c>
      <c r="H10" s="244">
        <f>IF(ISNUMBER((Datos!M10-Datos!W10)/Datos!W10),(Datos!M10-Datos!W10)/Datos!W10," - ")</f>
        <v>0</v>
      </c>
      <c r="I10" s="395">
        <f>IF(ISNUMBER((Tasas!C10-Datos!BE10)/Datos!BE10),(Tasas!C10-Datos!BE10)/Datos!BE10," - ")</f>
        <v>-0.37777777777777771</v>
      </c>
      <c r="J10" s="394">
        <f>IF(ISNUMBER((Tasas!D10-Datos!BF10)/Datos!BF10),(Tasas!D10-Datos!BF10)/Datos!BF10," - ")</f>
        <v>-0.33333333333333331</v>
      </c>
      <c r="K10" s="396">
        <f>IF(ISNUMBER((Tasas!E10-Datos!BG10)/Datos!BG10),(Tasas!E10-Datos!BG10)/Datos!BG10," - ")</f>
        <v>-0.2982456140350877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0.39393939393939392</v>
      </c>
      <c r="I12" s="395">
        <f>IF(ISNUMBER((Tasas!C12-Datos!BE12)/Datos!BE12),(Tasas!C12-Datos!BE12)/Datos!BE12," - ")</f>
        <v>-0.1633830315938942</v>
      </c>
      <c r="J12" s="394">
        <f>IF(ISNUMBER((Tasas!D12-Datos!BF12)/Datos!BF12),(Tasas!D12-Datos!BF12)/Datos!BF12," - ")</f>
        <v>-0.14295392953929534</v>
      </c>
      <c r="K12" s="396">
        <f>IF(ISNUMBER((Tasas!E12-Datos!BG12)/Datos!BG12),(Tasas!E12-Datos!BG12)/Datos!BG12," - ")</f>
        <v>-0.14780025690430312</v>
      </c>
      <c r="M12" t="e">
        <f>IF(Monitorios="SI",Datos!CE12,0)</f>
        <v>#REF!</v>
      </c>
      <c r="N12" t="e">
        <f>IF(Monitorios="SI",Datos!CF12,0)</f>
        <v>#REF!</v>
      </c>
      <c r="O12" t="e">
        <f>IF(Monitorios="SI",Datos!CG12,0)</f>
        <v>#REF!</v>
      </c>
      <c r="P12" t="e">
        <f>IF(Monitorios="SI",Datos!CH12,0)</f>
        <v>#REF!</v>
      </c>
      <c r="Q12">
        <f>IF(J_V="SI",0,Datos!AG12)</f>
        <v>35</v>
      </c>
      <c r="R12">
        <f>IF(J_V="SI",0,Datos!AH12)</f>
        <v>12</v>
      </c>
      <c r="S12">
        <f>IF(J_V="SI",0,Datos!AI12)</f>
        <v>12</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0.3611111111111111</v>
      </c>
      <c r="I14" s="402">
        <f>IF(ISNUMBER((Tasas!C14-Datos!BE14)/Datos!BE14),(Tasas!C14-Datos!BE14)/Datos!BE14," - ")</f>
        <v>-0.16743072186110161</v>
      </c>
      <c r="J14" s="400">
        <f>IF(ISNUMBER((Tasas!D14-Datos!BF14)/Datos!BF14),(Tasas!D14-Datos!BF14)/Datos!BF14," - ")</f>
        <v>-0.15223177723177725</v>
      </c>
      <c r="K14" s="403">
        <f>IF(ISNUMBER((Tasas!E14-Datos!BG14)/Datos!BG14),(Tasas!E14-Datos!BG14)/Datos!BG14," - ")</f>
        <v>-0.1512524531392456</v>
      </c>
      <c r="M14" t="e">
        <f>IF(Monitorios="SI",Datos!CE14,0)</f>
        <v>#REF!</v>
      </c>
      <c r="N14" t="e">
        <f>IF(Monitorios="SI",Datos!CF14,0)</f>
        <v>#REF!</v>
      </c>
      <c r="O14" t="e">
        <f>IF(Monitorios="SI",Datos!CG14,0)</f>
        <v>#REF!</v>
      </c>
      <c r="P14" t="e">
        <f>IF(Monitorios="SI",Datos!CH14,0)</f>
        <v>#REF!</v>
      </c>
      <c r="Q14">
        <f>IF(J_V="SI",0,Datos!AG14)</f>
        <v>35</v>
      </c>
      <c r="R14">
        <f>IF(J_V="SI",0,Datos!AH14)</f>
        <v>12</v>
      </c>
      <c r="S14">
        <f>IF(J_V="SI",0,Datos!AI14)</f>
        <v>12</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0.11471610660486674</v>
      </c>
      <c r="E17" s="393">
        <f>IF(ISNUMBER(
   IF(D_I="SI",(Datos!J17-Datos!T17)/Datos!T17,(Datos!J17+Datos!AD17-(Datos!T17+Datos!AL17))/(Datos!T17+Datos!AL17))
     ),IF(D_I="SI",(Datos!J17-Datos!T17)/Datos!T17,(Datos!J17+Datos!AD17-(Datos!T17+Datos!AL17))/(Datos!T17+Datos!AL17))," - ")</f>
        <v>9.7902097902097904E-2</v>
      </c>
      <c r="F17" s="393">
        <f>IF(ISNUMBER(
   IF(D_I="SI",(Datos!K17-Datos!U17)/Datos!U17,(Datos!K17+Datos!AE17-(Datos!U17+Datos!AM17))/(Datos!U17+Datos!AM17))
     ),IF(D_I="SI",(Datos!K17-Datos!U17)/Datos!U17,(Datos!K17+Datos!AE17-(Datos!U17+Datos!AM17))/(Datos!U17+Datos!AM17))," - ")</f>
        <v>-0.2280130293159609</v>
      </c>
      <c r="G17" s="394">
        <f>IF(ISNUMBER(
   IF(D_I="SI",(Datos!L17-Datos!V17)/Datos!V17,(Datos!L17+Datos!AF17-(Datos!V17+Datos!AN17))/(Datos!V17+Datos!AN17))
     ),IF(D_I="SI",(Datos!L17-Datos!V17)/Datos!V17,(Datos!L17+Datos!AF17-(Datos!V17+Datos!AN17))/(Datos!V17+Datos!AN17))," - ")</f>
        <v>0.10451306413301663</v>
      </c>
      <c r="H17" s="244">
        <f>IF(ISNUMBER((Datos!M17-Datos!W17)/Datos!W17),(Datos!M17-Datos!W17)/Datos!W17," - ")</f>
        <v>-0.44444444444444442</v>
      </c>
      <c r="I17" s="395">
        <f>IF(ISNUMBER((Tasas!C17-Datos!BE17)/Datos!BE17),(Tasas!C17-Datos!BE17)/Datos!BE17," - ")</f>
        <v>0.43074055142968826</v>
      </c>
      <c r="J17" s="394">
        <f>IF(ISNUMBER((Tasas!D17-Datos!BF17)/Datos!BF17),(Tasas!D17-Datos!BF17)/Datos!BF17," - ")</f>
        <v>-0.28035630567276137</v>
      </c>
      <c r="K17" s="396">
        <f>IF(ISNUMBER((Tasas!E17-Datos!BG17)/Datos!BG17),(Tasas!E17-Datos!BG17)/Datos!BG17," - ")</f>
        <v>0.43853580255074126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-0.13725490196078433</v>
      </c>
      <c r="E18" s="393">
        <f>IF(ISNUMBER(
   IF(D_I="SI",(Datos!J18-Datos!T18)/Datos!T18,(Datos!J18+Datos!AD18-(Datos!T18+Datos!AL18))/(Datos!T18+Datos!AL18))
     ),IF(D_I="SI",(Datos!J18-Datos!T18)/Datos!T18,(Datos!J18+Datos!AD18-(Datos!T18+Datos!AL18))/(Datos!T18+Datos!AL18))," - ")</f>
        <v>3.8461538461538464E-2</v>
      </c>
      <c r="F18" s="393">
        <f>IF(ISNUMBER(
   IF(D_I="SI",(Datos!K18-Datos!U18)/Datos!U18,(Datos!K18+Datos!AE18-(Datos!U18+Datos!AM18))/(Datos!U18+Datos!AM18))
     ),IF(D_I="SI",(Datos!K18-Datos!U18)/Datos!U18,(Datos!K18+Datos!AE18-(Datos!U18+Datos!AM18))/(Datos!U18+Datos!AM18))," - ")</f>
        <v>-0.1875</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0.23076923076923081</v>
      </c>
      <c r="J18" s="394">
        <f>IF(ISNUMBER((Tasas!D18-Datos!BF18)/Datos!BF18),(Tasas!D18-Datos!BF18)/Datos!BF18," - ")</f>
        <v>0.23076923076923084</v>
      </c>
      <c r="K18" s="396">
        <f>IF(ISNUMBER((Tasas!E18-Datos!BG18)/Datos!BG18),(Tasas!E18-Datos!BG18)/Datos!BG18," - ")</f>
        <v>0.13486513486513491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0.10065645514223195</v>
      </c>
      <c r="E23" s="399">
        <f>IF(ISNUMBER(
   IF(D_I="SI",(Datos!J23-Datos!T23)/Datos!T23,(Datos!J23+Datos!AD23-(Datos!T23+Datos!AL23))/(Datos!T23+Datos!AL23))
     ),IF(D_I="SI",(Datos!J23-Datos!T23)/Datos!T23,(Datos!J23+Datos!AD23-(Datos!T23+Datos!AL23))/(Datos!T23+Datos!AL23))," - ")</f>
        <v>9.2948717948717952E-2</v>
      </c>
      <c r="F23" s="399">
        <f>IF(ISNUMBER(
   IF(D_I="SI",(Datos!K23-Datos!U23)/Datos!U23,(Datos!K23+Datos!AE23-(Datos!U23+Datos!AM23))/(Datos!U23+Datos!AM23))
     ),IF(D_I="SI",(Datos!K23-Datos!U23)/Datos!U23,(Datos!K23+Datos!AE23-(Datos!U23+Datos!AM23))/(Datos!U23+Datos!AM23))," - ")</f>
        <v>-0.22418879056047197</v>
      </c>
      <c r="G23" s="400">
        <f>IF(ISNUMBER(
   IF(D_I="SI",(Datos!L23-Datos!V23)/Datos!V23,(Datos!L23+Datos!AF23-(Datos!V23+Datos!AN23))/(Datos!V23+Datos!AN23))
     ),IF(D_I="SI",(Datos!L23-Datos!V23)/Datos!V23,(Datos!L23+Datos!AF23-(Datos!V23+Datos!AN23))/(Datos!V23+Datos!AN23))," - ")</f>
        <v>9.92108229988726E-2</v>
      </c>
      <c r="H23" s="401">
        <f>IF(ISNUMBER((Datos!M23-Datos!W23)/Datos!W23),(Datos!M23-Datos!W23)/Datos!W23," - ")</f>
        <v>-0.3902439024390244</v>
      </c>
      <c r="I23" s="402">
        <f>IF(ISNUMBER((Tasas!C23-Datos!BE23)/Datos!BE23),(Tasas!C23-Datos!BE23)/Datos!BE23," - ")</f>
        <v>0.41685349428371787</v>
      </c>
      <c r="J23" s="400">
        <f>IF(ISNUMBER((Tasas!D23-Datos!BF23)/Datos!BF23),(Tasas!D23-Datos!BF23)/Datos!BF23," - ")</f>
        <v>-0.21404061949364744</v>
      </c>
      <c r="K23" s="403">
        <f>IF(ISNUMBER((Tasas!E23-Datos!BG23)/Datos!BG23),(Tasas!E23-Datos!BG23)/Datos!BG23," - ")</f>
        <v>0.41618853857175642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0.1051975051975052</v>
      </c>
      <c r="E31" s="409">
        <f>IF(ISNUMBER(
   IF(J_V="SI",(Datos!J31-Datos!T31)/Datos!T31,(Datos!J31+Datos!Z31-(Datos!T31+Datos!AH31))/(Datos!T31+Datos!AH31))
     ),IF(J_V="SI",(Datos!J31-Datos!T31)/Datos!T31,(Datos!J31+Datos!Z31-(Datos!T31+Datos!AH31))/(Datos!T31+Datos!AH31))," - ")</f>
        <v>0.12105263157894737</v>
      </c>
      <c r="F31" s="409">
        <f>IF(ISNUMBER(
   IF(J_V="SI",(Datos!K31-Datos!U31)/Datos!U31,(Datos!K31+Datos!AA31-(Datos!U31+Datos!AI31))/(Datos!U31+Datos!AI31))
     ),IF(J_V="SI",(Datos!K31-Datos!U31)/Datos!U31,(Datos!K31+Datos!AA31-(Datos!U31+Datos!AI31))/(Datos!U31+Datos!AI31))," - ")</f>
        <v>-4.5275590551181105E-2</v>
      </c>
      <c r="G31" s="410">
        <f>IF(ISNUMBER(
   IF(J_V="SI",(Datos!L31-Datos!V31)/Datos!V31,(Datos!L31+Datos!AB31-(Datos!V31+Datos!AJ31))/(Datos!V31+Datos!AJ31))
     ),IF(J_V="SI",(Datos!L31-Datos!V31)/Datos!V31,(Datos!L31+Datos!AB31-(Datos!V31+Datos!AJ31))/(Datos!V31+Datos!AJ31))," - ")</f>
        <v>9.5662748277259832E-2</v>
      </c>
      <c r="H31" s="411">
        <f>IF(ISNUMBER((Datos!M31-Datos!W31)/Datos!W31),(Datos!M31-Datos!W31)/Datos!W31," - ")</f>
        <v>-3.896103896103896E-2</v>
      </c>
      <c r="I31" s="408">
        <f>IF(ISNUMBER((Tasas!C31-Datos!BE31)/Datos!BE31),(Tasas!C31-Datos!BE31)/Datos!BE31," - ")</f>
        <v>0.14762201262855257</v>
      </c>
      <c r="J31" s="409">
        <f>IF(ISNUMBER((Tasas!D31-Datos!BF31)/Datos!BF31),(Tasas!D31-Datos!BF31)/Datos!BF31," - ")</f>
        <v>-8.8126137052759221E-2</v>
      </c>
      <c r="K31" s="410">
        <f>IF(ISNUMBER((Tasas!E31-Datos!BG31)/Datos!BG31),(Tasas!E31-Datos!BG31)/Datos!BG31," - ")</f>
        <v>0.16079078229229837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0.11633976533702371</v>
      </c>
      <c r="E33" s="303">
        <f t="shared" si="1"/>
        <v>0.46256580028017813</v>
      </c>
      <c r="F33" s="303">
        <f t="shared" si="1"/>
        <v>0.35708432978388149</v>
      </c>
      <c r="G33" s="304">
        <f t="shared" si="1"/>
        <v>8.2692285006153915E-2</v>
      </c>
      <c r="H33" s="310">
        <f t="shared" si="1"/>
        <v>0.35618916807738715</v>
      </c>
      <c r="I33" s="302">
        <f t="shared" si="1"/>
        <v>0.34269907595437782</v>
      </c>
      <c r="J33" s="303">
        <f t="shared" si="1"/>
        <v>0.19986727323945166</v>
      </c>
      <c r="K33" s="304">
        <f t="shared" si="1"/>
        <v>0.31360455880868326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MKYRJnDexwBNhyfKjpIC+XYtMsGAU2S/Jpe7+12sQTbPftDb42HzP3LZKQvqp53G9c9QgyVKR8iPditEii+HQ==" saltValue="+k88XElxk3Jb8AK2E1bB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